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5.xml" ContentType="application/vnd.openxmlformats-officedocument.spreadsheetml.comments+xml"/>
  <Override PartName="/xl/tables/table10.xml" ContentType="application/vnd.openxmlformats-officedocument.spreadsheetml.table+xml"/>
  <Override PartName="/xl/comments6.xml" ContentType="application/vnd.openxmlformats-officedocument.spreadsheetml.comment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091A1E74-3663-42DF-8551-D5BBA9A05EAD}" xr6:coauthVersionLast="47" xr6:coauthVersionMax="47" xr10:uidLastSave="{00000000-0000-0000-0000-000000000000}"/>
  <bookViews>
    <workbookView xWindow="-120" yWindow="-120" windowWidth="29040" windowHeight="15840" firstSheet="5" activeTab="15" xr2:uid="{AA1893F4-E76B-4A70-A4E6-33E61837CDAA}"/>
  </bookViews>
  <sheets>
    <sheet name="PAGE_1" sheetId="16" r:id="rId1"/>
    <sheet name="PAGE_2" sheetId="1" r:id="rId2"/>
    <sheet name="PAGE_3" sheetId="2" r:id="rId3"/>
    <sheet name="PAGE_4" sheetId="3" r:id="rId4"/>
    <sheet name="PAGE_5" sheetId="4" r:id="rId5"/>
    <sheet name="PAGE_6" sheetId="5" r:id="rId6"/>
    <sheet name="PAGE_7" sheetId="6" r:id="rId7"/>
    <sheet name="PAGE_8" sheetId="7" r:id="rId8"/>
    <sheet name="PAGE_9" sheetId="8" r:id="rId9"/>
    <sheet name="PAGE_10" sheetId="9" r:id="rId10"/>
    <sheet name="PAGE_11" sheetId="10" r:id="rId11"/>
    <sheet name="PAGE_12" sheetId="11" r:id="rId12"/>
    <sheet name="PAGE_13" sheetId="12" r:id="rId13"/>
    <sheet name="PAGE_14" sheetId="13" r:id="rId14"/>
    <sheet name="PAGE_15" sheetId="14" r:id="rId15"/>
    <sheet name="PAGE_16" sheetId="15" r:id="rId16"/>
  </sheets>
  <externalReferences>
    <externalReference r:id="rId17"/>
    <externalReference r:id="rId18"/>
  </externalReferences>
  <definedNames>
    <definedName name="__123Graph_A" localSheetId="0" hidden="1">[1]PAGE_7!#REF!</definedName>
    <definedName name="__123Graph_A" hidden="1">PAGE_7!#REF!</definedName>
    <definedName name="__123Graph_B" localSheetId="0" hidden="1">[1]PAGE_7!#REF!</definedName>
    <definedName name="__123Graph_B" hidden="1">PAGE_7!#REF!</definedName>
    <definedName name="__123Graph_X" localSheetId="0" hidden="1">[1]PAGE_7!#REF!</definedName>
    <definedName name="__123Graph_X" hidden="1">PAGE_7!#REF!</definedName>
    <definedName name="_xlnm.Print_Area" localSheetId="0">PAGE_1!$A$1:$C$27</definedName>
    <definedName name="_xlnm.Print_Area" localSheetId="9">PAGE_10!$A$1:$U$60</definedName>
    <definedName name="_xlnm.Print_Area" localSheetId="10">PAGE_11!$A$1:$O$59</definedName>
    <definedName name="_xlnm.Print_Area" localSheetId="11">PAGE_12!$A$1:$J$59</definedName>
    <definedName name="_xlnm.Print_Area" localSheetId="12">PAGE_13!$A$1:$Q$59</definedName>
    <definedName name="_xlnm.Print_Area" localSheetId="13">PAGE_14!$A$1:$Z$59</definedName>
    <definedName name="_xlnm.Print_Area" localSheetId="14">PAGE_15!$A$1:$K$59</definedName>
    <definedName name="_xlnm.Print_Area" localSheetId="15">PAGE_16!$A$1:$P$35</definedName>
    <definedName name="_xlnm.Print_Area" localSheetId="1">PAGE_2!$A$1:$AK$59</definedName>
    <definedName name="_xlnm.Print_Area" localSheetId="2">PAGE_3!$A$1:$V$59</definedName>
    <definedName name="_xlnm.Print_Area" localSheetId="3">PAGE_4!$A$1:$S$59</definedName>
    <definedName name="_xlnm.Print_Area" localSheetId="4">PAGE_5!$A$1:$O$59</definedName>
    <definedName name="_xlnm.Print_Area" localSheetId="5">PAGE_6!$A$1:$M$61</definedName>
    <definedName name="_xlnm.Print_Area" localSheetId="6">PAGE_7!$A$1:$O$59</definedName>
    <definedName name="_xlnm.Print_Area" localSheetId="7">PAGE_8!$A$1:$K$59</definedName>
    <definedName name="_xlnm.Print_Area" localSheetId="8">PAGE_9!$A$1:$N$60</definedName>
    <definedName name="TEXTC">PAGE_2!$A$1:$AH$58</definedName>
    <definedName name="TEXTD">PAGE_3!$A$1:$AL$60</definedName>
    <definedName name="TEXTE">PAGE_4!$A$1:$T$60</definedName>
    <definedName name="TEXTF">PAGE_5!$A$1:$O$60</definedName>
    <definedName name="TEXTG">PAGE_7!$A$1:$O$58</definedName>
    <definedName name="TEXTH">PAGE_8!$A$1:$K$58</definedName>
    <definedName name="TEXTI">PAGE_10!$A$1:$U$59</definedName>
    <definedName name="TEXTJ">PAGE_11!$A$1:$P$57</definedName>
    <definedName name="TEXTK">PAGE_16!$A$3:$S$33</definedName>
    <definedName name="TEXTL">PAGE_13!$A$1:$R$58</definedName>
    <definedName name="TEXTM">PAGE_14!$A$1:$AA$58</definedName>
    <definedName name="TEXTN">PAGE_15!$A$1:$M$59</definedName>
    <definedName name="TEXTO">PAGE_6!$A$1:$M$61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5" l="1"/>
  <c r="A4" i="15"/>
  <c r="A3" i="15"/>
  <c r="A2" i="15"/>
  <c r="A1" i="15"/>
  <c r="B60" i="14"/>
  <c r="J59" i="14"/>
  <c r="G59" i="14"/>
  <c r="F59" i="14"/>
  <c r="J58" i="14"/>
  <c r="G58" i="14"/>
  <c r="F58" i="14"/>
  <c r="J56" i="14"/>
  <c r="G56" i="14"/>
  <c r="F56" i="14"/>
  <c r="J55" i="14"/>
  <c r="G55" i="14"/>
  <c r="F55" i="14"/>
  <c r="J54" i="14"/>
  <c r="G54" i="14"/>
  <c r="F54" i="14"/>
  <c r="J53" i="14"/>
  <c r="G53" i="14"/>
  <c r="F53" i="14"/>
  <c r="J52" i="14"/>
  <c r="G52" i="14"/>
  <c r="F52" i="14"/>
  <c r="J51" i="14"/>
  <c r="G51" i="14"/>
  <c r="F51" i="14"/>
  <c r="J50" i="14"/>
  <c r="G50" i="14"/>
  <c r="F50" i="14"/>
  <c r="J49" i="14"/>
  <c r="G49" i="14"/>
  <c r="F49" i="14"/>
  <c r="J48" i="14"/>
  <c r="G48" i="14"/>
  <c r="F48" i="14"/>
  <c r="E48" i="14"/>
  <c r="C48" i="14"/>
  <c r="J47" i="14"/>
  <c r="G47" i="14"/>
  <c r="F47" i="14"/>
  <c r="E47" i="14"/>
  <c r="C47" i="14"/>
  <c r="J46" i="14"/>
  <c r="G46" i="14"/>
  <c r="F46" i="14"/>
  <c r="E46" i="14"/>
  <c r="C46" i="14"/>
  <c r="J45" i="14"/>
  <c r="G45" i="14"/>
  <c r="F45" i="14"/>
  <c r="E45" i="14"/>
  <c r="C45" i="14"/>
  <c r="J44" i="14"/>
  <c r="G44" i="14"/>
  <c r="F44" i="14"/>
  <c r="E44" i="14"/>
  <c r="C44" i="14"/>
  <c r="J43" i="14"/>
  <c r="G43" i="14"/>
  <c r="F43" i="14"/>
  <c r="E43" i="14"/>
  <c r="C43" i="14"/>
  <c r="J42" i="14"/>
  <c r="G42" i="14"/>
  <c r="F42" i="14"/>
  <c r="E42" i="14"/>
  <c r="C42" i="14"/>
  <c r="J41" i="14"/>
  <c r="G41" i="14"/>
  <c r="F41" i="14"/>
  <c r="E41" i="14"/>
  <c r="C41" i="14"/>
  <c r="J40" i="14"/>
  <c r="G40" i="14"/>
  <c r="F40" i="14"/>
  <c r="E40" i="14"/>
  <c r="C40" i="14"/>
  <c r="J39" i="14"/>
  <c r="G39" i="14"/>
  <c r="F39" i="14"/>
  <c r="E39" i="14"/>
  <c r="C39" i="14"/>
  <c r="J38" i="14"/>
  <c r="G38" i="14"/>
  <c r="F38" i="14"/>
  <c r="E38" i="14"/>
  <c r="C38" i="14"/>
  <c r="J37" i="14"/>
  <c r="G37" i="14"/>
  <c r="F37" i="14"/>
  <c r="E37" i="14"/>
  <c r="D37" i="14"/>
  <c r="C37" i="14"/>
  <c r="B37" i="14"/>
  <c r="J36" i="14"/>
  <c r="G36" i="14"/>
  <c r="F36" i="14"/>
  <c r="E36" i="14"/>
  <c r="D36" i="14"/>
  <c r="C36" i="14"/>
  <c r="B36" i="14"/>
  <c r="J35" i="14"/>
  <c r="G35" i="14"/>
  <c r="F35" i="14"/>
  <c r="E35" i="14"/>
  <c r="C35" i="14"/>
  <c r="J34" i="14"/>
  <c r="G34" i="14"/>
  <c r="F34" i="14"/>
  <c r="E34" i="14"/>
  <c r="C34" i="14"/>
  <c r="J33" i="14"/>
  <c r="G33" i="14"/>
  <c r="F33" i="14"/>
  <c r="E33" i="14"/>
  <c r="C33" i="14"/>
  <c r="J32" i="14"/>
  <c r="G32" i="14"/>
  <c r="F32" i="14"/>
  <c r="E32" i="14"/>
  <c r="C32" i="14"/>
  <c r="J31" i="14"/>
  <c r="G31" i="14"/>
  <c r="F31" i="14"/>
  <c r="E31" i="14"/>
  <c r="C31" i="14"/>
  <c r="J30" i="14"/>
  <c r="G30" i="14"/>
  <c r="F30" i="14"/>
  <c r="E30" i="14"/>
  <c r="C30" i="14"/>
  <c r="J29" i="14"/>
  <c r="I29" i="14"/>
  <c r="F29" i="14"/>
  <c r="J28" i="14"/>
  <c r="I28" i="14"/>
  <c r="F28" i="14"/>
  <c r="J27" i="14"/>
  <c r="I27" i="14"/>
  <c r="F27" i="14"/>
  <c r="J26" i="14"/>
  <c r="I26" i="14"/>
  <c r="F26" i="14"/>
  <c r="J25" i="14"/>
  <c r="F25" i="14"/>
  <c r="J24" i="14"/>
  <c r="I24" i="14"/>
  <c r="F24" i="14"/>
  <c r="J23" i="14"/>
  <c r="I23" i="14"/>
  <c r="F23" i="14"/>
  <c r="J22" i="14"/>
  <c r="I22" i="14"/>
  <c r="F22" i="14"/>
  <c r="J21" i="14"/>
  <c r="I21" i="14"/>
  <c r="F21" i="14"/>
  <c r="J20" i="14"/>
  <c r="I20" i="14"/>
  <c r="F20" i="14"/>
  <c r="J19" i="14"/>
  <c r="I19" i="14"/>
  <c r="F19" i="14"/>
  <c r="J18" i="14"/>
  <c r="I18" i="14"/>
  <c r="F18" i="14"/>
  <c r="J17" i="14"/>
  <c r="I17" i="14"/>
  <c r="F17" i="14"/>
  <c r="J16" i="14"/>
  <c r="I16" i="14"/>
  <c r="F16" i="14"/>
  <c r="J15" i="14"/>
  <c r="I15" i="14"/>
  <c r="F15" i="14"/>
  <c r="J14" i="14"/>
  <c r="I14" i="14"/>
  <c r="F14" i="14"/>
  <c r="J13" i="14"/>
  <c r="I13" i="14"/>
  <c r="F13" i="14"/>
  <c r="J12" i="14"/>
  <c r="I12" i="14"/>
  <c r="F12" i="14"/>
  <c r="J11" i="14"/>
  <c r="I11" i="14"/>
  <c r="F11" i="14"/>
  <c r="J10" i="14"/>
  <c r="I10" i="14"/>
  <c r="F10" i="14"/>
  <c r="J9" i="14"/>
  <c r="I9" i="14"/>
  <c r="F9" i="14"/>
  <c r="J8" i="14"/>
  <c r="I8" i="14"/>
  <c r="F8" i="14"/>
  <c r="J7" i="14"/>
  <c r="I7" i="14"/>
  <c r="F7" i="14"/>
  <c r="A5" i="14"/>
  <c r="A4" i="14"/>
  <c r="A3" i="14"/>
  <c r="A2" i="14"/>
  <c r="A1" i="14"/>
  <c r="Q59" i="12"/>
  <c r="P59" i="12"/>
  <c r="Q58" i="12"/>
  <c r="P58" i="12"/>
  <c r="O58" i="12"/>
  <c r="M58" i="12"/>
  <c r="K58" i="12"/>
  <c r="I58" i="12"/>
  <c r="G58" i="12"/>
  <c r="E58" i="12"/>
  <c r="Q56" i="12"/>
  <c r="P56" i="12"/>
  <c r="Q55" i="12"/>
  <c r="P55" i="12"/>
  <c r="Q54" i="12"/>
  <c r="P54" i="12"/>
  <c r="Q53" i="12"/>
  <c r="P53" i="12"/>
  <c r="Q52" i="12"/>
  <c r="P52" i="12"/>
  <c r="Q51" i="12"/>
  <c r="P51" i="12"/>
  <c r="Q50" i="12"/>
  <c r="P50" i="12"/>
  <c r="Q49" i="12"/>
  <c r="P49" i="12"/>
  <c r="Q48" i="12"/>
  <c r="P48" i="12"/>
  <c r="O48" i="12"/>
  <c r="M48" i="12"/>
  <c r="I48" i="12"/>
  <c r="G48" i="12"/>
  <c r="E48" i="12"/>
  <c r="Q47" i="12"/>
  <c r="P47" i="12"/>
  <c r="O47" i="12"/>
  <c r="M47" i="12"/>
  <c r="I47" i="12"/>
  <c r="G47" i="12"/>
  <c r="E47" i="12"/>
  <c r="Q46" i="12"/>
  <c r="P46" i="12"/>
  <c r="O46" i="12"/>
  <c r="M46" i="12"/>
  <c r="I46" i="12"/>
  <c r="H46" i="12"/>
  <c r="G46" i="12"/>
  <c r="F46" i="12"/>
  <c r="E46" i="12"/>
  <c r="D46" i="12"/>
  <c r="Q45" i="12"/>
  <c r="P45" i="12"/>
  <c r="O45" i="12"/>
  <c r="M45" i="12"/>
  <c r="I45" i="12"/>
  <c r="H45" i="12"/>
  <c r="G45" i="12"/>
  <c r="F45" i="12"/>
  <c r="E45" i="12"/>
  <c r="D45" i="12"/>
  <c r="Q44" i="12"/>
  <c r="P44" i="12"/>
  <c r="O44" i="12"/>
  <c r="M44" i="12"/>
  <c r="I44" i="12"/>
  <c r="H44" i="12"/>
  <c r="G44" i="12"/>
  <c r="F44" i="12"/>
  <c r="E44" i="12"/>
  <c r="D44" i="12"/>
  <c r="Q43" i="12"/>
  <c r="P43" i="12"/>
  <c r="O43" i="12"/>
  <c r="M43" i="12"/>
  <c r="K43" i="12"/>
  <c r="I43" i="12"/>
  <c r="H43" i="12"/>
  <c r="G43" i="12"/>
  <c r="F43" i="12"/>
  <c r="E43" i="12"/>
  <c r="D43" i="12"/>
  <c r="C43" i="12"/>
  <c r="Q42" i="12"/>
  <c r="P42" i="12"/>
  <c r="O42" i="12"/>
  <c r="M42" i="12"/>
  <c r="I42" i="12"/>
  <c r="H42" i="12"/>
  <c r="G42" i="12"/>
  <c r="F42" i="12"/>
  <c r="E42" i="12"/>
  <c r="D42" i="12"/>
  <c r="Q41" i="12"/>
  <c r="P41" i="12"/>
  <c r="O41" i="12"/>
  <c r="M41" i="12"/>
  <c r="K41" i="12"/>
  <c r="I41" i="12"/>
  <c r="H41" i="12"/>
  <c r="G41" i="12"/>
  <c r="F41" i="12"/>
  <c r="E41" i="12"/>
  <c r="D41" i="12"/>
  <c r="C41" i="12"/>
  <c r="Q40" i="12"/>
  <c r="P40" i="12"/>
  <c r="O40" i="12"/>
  <c r="M40" i="12"/>
  <c r="K40" i="12"/>
  <c r="I40" i="12"/>
  <c r="H40" i="12"/>
  <c r="G40" i="12"/>
  <c r="F40" i="12"/>
  <c r="E40" i="12"/>
  <c r="D40" i="12"/>
  <c r="C40" i="12"/>
  <c r="Q39" i="12"/>
  <c r="P39" i="12"/>
  <c r="O39" i="12"/>
  <c r="M39" i="12"/>
  <c r="K39" i="12"/>
  <c r="I39" i="12"/>
  <c r="H39" i="12"/>
  <c r="G39" i="12"/>
  <c r="F39" i="12"/>
  <c r="E39" i="12"/>
  <c r="D39" i="12"/>
  <c r="C39" i="12"/>
  <c r="Q38" i="12"/>
  <c r="P38" i="12"/>
  <c r="O38" i="12"/>
  <c r="M38" i="12"/>
  <c r="K38" i="12"/>
  <c r="I38" i="12"/>
  <c r="H38" i="12"/>
  <c r="G38" i="12"/>
  <c r="F38" i="12"/>
  <c r="E38" i="12"/>
  <c r="D38" i="12"/>
  <c r="C38" i="12"/>
  <c r="Q37" i="12"/>
  <c r="P37" i="12"/>
  <c r="O37" i="12"/>
  <c r="M37" i="12"/>
  <c r="K37" i="12"/>
  <c r="I37" i="12"/>
  <c r="H37" i="12"/>
  <c r="G37" i="12"/>
  <c r="F37" i="12"/>
  <c r="E37" i="12"/>
  <c r="D37" i="12"/>
  <c r="C37" i="12"/>
  <c r="Q36" i="12"/>
  <c r="P36" i="12"/>
  <c r="O36" i="12"/>
  <c r="M36" i="12"/>
  <c r="K36" i="12"/>
  <c r="I36" i="12"/>
  <c r="H36" i="12"/>
  <c r="G36" i="12"/>
  <c r="F36" i="12"/>
  <c r="E36" i="12"/>
  <c r="D36" i="12"/>
  <c r="C36" i="12"/>
  <c r="Q35" i="12"/>
  <c r="P35" i="12"/>
  <c r="O35" i="12"/>
  <c r="M35" i="12"/>
  <c r="K35" i="12"/>
  <c r="I35" i="12"/>
  <c r="H35" i="12"/>
  <c r="G35" i="12"/>
  <c r="F35" i="12"/>
  <c r="E35" i="12"/>
  <c r="D35" i="12"/>
  <c r="C35" i="12"/>
  <c r="Q34" i="12"/>
  <c r="P34" i="12"/>
  <c r="O34" i="12"/>
  <c r="M34" i="12"/>
  <c r="K34" i="12"/>
  <c r="I34" i="12"/>
  <c r="H34" i="12"/>
  <c r="G34" i="12"/>
  <c r="F34" i="12"/>
  <c r="E34" i="12"/>
  <c r="D34" i="12"/>
  <c r="Q33" i="12"/>
  <c r="P33" i="12"/>
  <c r="O33" i="12"/>
  <c r="M33" i="12"/>
  <c r="K33" i="12"/>
  <c r="I33" i="12"/>
  <c r="H33" i="12"/>
  <c r="G33" i="12"/>
  <c r="F33" i="12"/>
  <c r="E33" i="12"/>
  <c r="D33" i="12"/>
  <c r="C33" i="12"/>
  <c r="Q32" i="12"/>
  <c r="P32" i="12"/>
  <c r="O32" i="12"/>
  <c r="M32" i="12"/>
  <c r="K32" i="12"/>
  <c r="I32" i="12"/>
  <c r="H32" i="12"/>
  <c r="F32" i="12"/>
  <c r="E32" i="12"/>
  <c r="D32" i="12"/>
  <c r="Q31" i="12"/>
  <c r="P31" i="12"/>
  <c r="O31" i="12"/>
  <c r="M31" i="12"/>
  <c r="K31" i="12"/>
  <c r="I31" i="12"/>
  <c r="H31" i="12"/>
  <c r="G31" i="12"/>
  <c r="F31" i="12"/>
  <c r="E31" i="12"/>
  <c r="D31" i="12"/>
  <c r="C31" i="12"/>
  <c r="P30" i="12"/>
  <c r="H30" i="12"/>
  <c r="F30" i="12"/>
  <c r="D30" i="12"/>
  <c r="P29" i="12"/>
  <c r="H29" i="12"/>
  <c r="F29" i="12"/>
  <c r="D29" i="12"/>
  <c r="P28" i="12"/>
  <c r="H28" i="12"/>
  <c r="F28" i="12"/>
  <c r="D28" i="12"/>
  <c r="P27" i="12"/>
  <c r="H27" i="12"/>
  <c r="F27" i="12"/>
  <c r="D27" i="12"/>
  <c r="P26" i="12"/>
  <c r="H26" i="12"/>
  <c r="F26" i="12"/>
  <c r="D26" i="12"/>
  <c r="Q25" i="12"/>
  <c r="P25" i="12"/>
  <c r="J25" i="12"/>
  <c r="I25" i="12"/>
  <c r="H25" i="12"/>
  <c r="G25" i="12"/>
  <c r="F25" i="12"/>
  <c r="D25" i="12"/>
  <c r="C25" i="12"/>
  <c r="I25" i="14" s="1"/>
  <c r="P24" i="12"/>
  <c r="H24" i="12"/>
  <c r="F24" i="12"/>
  <c r="D24" i="12"/>
  <c r="P23" i="12"/>
  <c r="H23" i="12"/>
  <c r="F23" i="12"/>
  <c r="D23" i="12"/>
  <c r="P22" i="12"/>
  <c r="H22" i="12"/>
  <c r="F22" i="12"/>
  <c r="D22" i="12"/>
  <c r="P21" i="12"/>
  <c r="H21" i="12"/>
  <c r="F21" i="12"/>
  <c r="D21" i="12"/>
  <c r="P20" i="12"/>
  <c r="J20" i="12"/>
  <c r="H20" i="12"/>
  <c r="F20" i="12"/>
  <c r="D20" i="12"/>
  <c r="P19" i="12"/>
  <c r="H19" i="12"/>
  <c r="F19" i="12"/>
  <c r="D19" i="12"/>
  <c r="P18" i="12"/>
  <c r="H18" i="12"/>
  <c r="F18" i="12"/>
  <c r="D18" i="12"/>
  <c r="P17" i="12"/>
  <c r="H17" i="12"/>
  <c r="F17" i="12"/>
  <c r="D17" i="12"/>
  <c r="P16" i="12"/>
  <c r="H16" i="12"/>
  <c r="F16" i="12"/>
  <c r="D16" i="12"/>
  <c r="P15" i="12"/>
  <c r="H15" i="12"/>
  <c r="F15" i="12"/>
  <c r="D15" i="12"/>
  <c r="P14" i="12"/>
  <c r="H14" i="12"/>
  <c r="F14" i="12"/>
  <c r="D14" i="12"/>
  <c r="P13" i="12"/>
  <c r="H13" i="12"/>
  <c r="F13" i="12"/>
  <c r="D13" i="12"/>
  <c r="P12" i="12"/>
  <c r="H12" i="12"/>
  <c r="F12" i="12"/>
  <c r="D12" i="12"/>
  <c r="P11" i="12"/>
  <c r="H11" i="12"/>
  <c r="F11" i="12"/>
  <c r="D11" i="12"/>
  <c r="P10" i="12"/>
  <c r="H10" i="12"/>
  <c r="F10" i="12"/>
  <c r="D10" i="12"/>
  <c r="P9" i="12"/>
  <c r="H9" i="12"/>
  <c r="F9" i="12"/>
  <c r="D9" i="12"/>
  <c r="P8" i="12"/>
  <c r="H8" i="12"/>
  <c r="F8" i="12"/>
  <c r="D8" i="12"/>
  <c r="P7" i="12"/>
  <c r="H7" i="12"/>
  <c r="F7" i="12"/>
  <c r="D7" i="12"/>
  <c r="A5" i="12"/>
  <c r="A4" i="12"/>
  <c r="A3" i="12"/>
  <c r="A2" i="12"/>
  <c r="A1" i="12"/>
  <c r="J58" i="10"/>
  <c r="J56" i="10" s="1"/>
  <c r="L47" i="10"/>
  <c r="J47" i="10"/>
  <c r="F47" i="10"/>
  <c r="F58" i="10" s="1"/>
  <c r="D47" i="10"/>
  <c r="D58" i="10" s="1"/>
  <c r="B47" i="10"/>
  <c r="N46" i="10"/>
  <c r="D46" i="14" s="1"/>
  <c r="H46" i="10"/>
  <c r="B46" i="14" s="1"/>
  <c r="N45" i="10"/>
  <c r="D45" i="14" s="1"/>
  <c r="H45" i="10"/>
  <c r="B45" i="14" s="1"/>
  <c r="N44" i="10"/>
  <c r="D44" i="14" s="1"/>
  <c r="H44" i="10"/>
  <c r="B44" i="14" s="1"/>
  <c r="N43" i="10"/>
  <c r="D43" i="14" s="1"/>
  <c r="H43" i="10"/>
  <c r="B43" i="14" s="1"/>
  <c r="N42" i="10"/>
  <c r="D42" i="14" s="1"/>
  <c r="H42" i="10"/>
  <c r="B42" i="14" s="1"/>
  <c r="N41" i="10"/>
  <c r="H41" i="10"/>
  <c r="B41" i="14" s="1"/>
  <c r="N40" i="10"/>
  <c r="D40" i="14" s="1"/>
  <c r="H40" i="10"/>
  <c r="B40" i="14" s="1"/>
  <c r="N39" i="10"/>
  <c r="D39" i="14" s="1"/>
  <c r="H39" i="10"/>
  <c r="B39" i="14" s="1"/>
  <c r="N38" i="10"/>
  <c r="D38" i="14" s="1"/>
  <c r="H38" i="10"/>
  <c r="B38" i="14" s="1"/>
  <c r="N35" i="10"/>
  <c r="D35" i="14" s="1"/>
  <c r="H35" i="10"/>
  <c r="B35" i="14" s="1"/>
  <c r="N34" i="10"/>
  <c r="D34" i="14" s="1"/>
  <c r="H34" i="10"/>
  <c r="B34" i="14" s="1"/>
  <c r="N33" i="10"/>
  <c r="D33" i="14" s="1"/>
  <c r="H33" i="10"/>
  <c r="B33" i="14" s="1"/>
  <c r="N32" i="10"/>
  <c r="D32" i="14" s="1"/>
  <c r="H32" i="10"/>
  <c r="B32" i="14" s="1"/>
  <c r="N31" i="10"/>
  <c r="D31" i="14" s="1"/>
  <c r="H31" i="10"/>
  <c r="B31" i="14" s="1"/>
  <c r="N30" i="10"/>
  <c r="D30" i="14" s="1"/>
  <c r="H30" i="10"/>
  <c r="B30" i="14" s="1"/>
  <c r="N29" i="10"/>
  <c r="D29" i="14" s="1"/>
  <c r="D29" i="10"/>
  <c r="H29" i="10" s="1"/>
  <c r="B29" i="14" s="1"/>
  <c r="N28" i="10"/>
  <c r="D28" i="14" s="1"/>
  <c r="D28" i="10"/>
  <c r="H28" i="10" s="1"/>
  <c r="B28" i="14" s="1"/>
  <c r="N27" i="10"/>
  <c r="D27" i="14" s="1"/>
  <c r="D27" i="10"/>
  <c r="H27" i="10" s="1"/>
  <c r="B27" i="14" s="1"/>
  <c r="N26" i="10"/>
  <c r="D26" i="14" s="1"/>
  <c r="D26" i="10"/>
  <c r="H26" i="10" s="1"/>
  <c r="B26" i="14" s="1"/>
  <c r="N25" i="10"/>
  <c r="D25" i="14" s="1"/>
  <c r="D25" i="10"/>
  <c r="H25" i="10" s="1"/>
  <c r="B25" i="14" s="1"/>
  <c r="N24" i="10"/>
  <c r="D24" i="14" s="1"/>
  <c r="D24" i="10"/>
  <c r="H24" i="10" s="1"/>
  <c r="B24" i="14" s="1"/>
  <c r="N23" i="10"/>
  <c r="D23" i="14" s="1"/>
  <c r="D23" i="10"/>
  <c r="H23" i="10" s="1"/>
  <c r="B23" i="14" s="1"/>
  <c r="N22" i="10"/>
  <c r="D22" i="14" s="1"/>
  <c r="D22" i="10"/>
  <c r="H22" i="10" s="1"/>
  <c r="B22" i="14" s="1"/>
  <c r="N21" i="10"/>
  <c r="D21" i="14" s="1"/>
  <c r="D21" i="10"/>
  <c r="H21" i="10" s="1"/>
  <c r="B21" i="14" s="1"/>
  <c r="N20" i="10"/>
  <c r="D20" i="14" s="1"/>
  <c r="D20" i="10"/>
  <c r="H20" i="10" s="1"/>
  <c r="B20" i="14" s="1"/>
  <c r="N19" i="10"/>
  <c r="D19" i="14" s="1"/>
  <c r="D19" i="10"/>
  <c r="H19" i="10" s="1"/>
  <c r="B19" i="14" s="1"/>
  <c r="N18" i="10"/>
  <c r="D18" i="14" s="1"/>
  <c r="D18" i="10"/>
  <c r="H18" i="10" s="1"/>
  <c r="B18" i="14" s="1"/>
  <c r="N17" i="10"/>
  <c r="D17" i="14" s="1"/>
  <c r="H17" i="10"/>
  <c r="B17" i="14" s="1"/>
  <c r="N16" i="10"/>
  <c r="D16" i="14" s="1"/>
  <c r="D16" i="10"/>
  <c r="H16" i="10" s="1"/>
  <c r="B16" i="14" s="1"/>
  <c r="N15" i="10"/>
  <c r="D15" i="14" s="1"/>
  <c r="D15" i="10"/>
  <c r="H15" i="10" s="1"/>
  <c r="B15" i="14" s="1"/>
  <c r="N14" i="10"/>
  <c r="D14" i="14" s="1"/>
  <c r="D14" i="10"/>
  <c r="H14" i="10" s="1"/>
  <c r="B14" i="14" s="1"/>
  <c r="N13" i="10"/>
  <c r="D13" i="14" s="1"/>
  <c r="D13" i="10"/>
  <c r="H13" i="10" s="1"/>
  <c r="B13" i="14" s="1"/>
  <c r="N12" i="10"/>
  <c r="D12" i="14" s="1"/>
  <c r="D12" i="10"/>
  <c r="H12" i="10" s="1"/>
  <c r="B12" i="14" s="1"/>
  <c r="N11" i="10"/>
  <c r="D11" i="14" s="1"/>
  <c r="H11" i="10"/>
  <c r="B11" i="14" s="1"/>
  <c r="D11" i="10"/>
  <c r="N10" i="10"/>
  <c r="D10" i="14" s="1"/>
  <c r="D10" i="10"/>
  <c r="H10" i="10" s="1"/>
  <c r="B10" i="14" s="1"/>
  <c r="N9" i="10"/>
  <c r="D9" i="14" s="1"/>
  <c r="D9" i="10"/>
  <c r="H9" i="10" s="1"/>
  <c r="B9" i="14" s="1"/>
  <c r="N8" i="10"/>
  <c r="D8" i="14" s="1"/>
  <c r="D8" i="10"/>
  <c r="N7" i="10"/>
  <c r="D7" i="10"/>
  <c r="H7" i="10" s="1"/>
  <c r="B7" i="14" s="1"/>
  <c r="A5" i="10"/>
  <c r="A4" i="10"/>
  <c r="A3" i="10"/>
  <c r="A2" i="10"/>
  <c r="A1" i="10"/>
  <c r="J60" i="8"/>
  <c r="AJ59" i="8"/>
  <c r="AF59" i="8"/>
  <c r="H56" i="8"/>
  <c r="I56" i="8" s="1"/>
  <c r="H54" i="8"/>
  <c r="I54" i="8" s="1"/>
  <c r="H52" i="8"/>
  <c r="I52" i="8" s="1"/>
  <c r="I51" i="8"/>
  <c r="H51" i="8"/>
  <c r="H50" i="8"/>
  <c r="K48" i="8"/>
  <c r="M48" i="8" s="1"/>
  <c r="H48" i="8"/>
  <c r="H59" i="8" s="1"/>
  <c r="H49" i="8" s="1"/>
  <c r="F48" i="8"/>
  <c r="F59" i="8" s="1"/>
  <c r="F49" i="8" s="1"/>
  <c r="D48" i="8"/>
  <c r="B48" i="8"/>
  <c r="B59" i="8" s="1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K32" i="8"/>
  <c r="M32" i="8" s="1"/>
  <c r="M31" i="8"/>
  <c r="K31" i="8"/>
  <c r="M30" i="8"/>
  <c r="K30" i="8"/>
  <c r="K29" i="8"/>
  <c r="M29" i="8" s="1"/>
  <c r="K28" i="8"/>
  <c r="M28" i="8" s="1"/>
  <c r="M27" i="8"/>
  <c r="K27" i="8"/>
  <c r="K26" i="8"/>
  <c r="M26" i="8" s="1"/>
  <c r="M25" i="8"/>
  <c r="K25" i="8"/>
  <c r="M24" i="8"/>
  <c r="K24" i="8"/>
  <c r="K23" i="8"/>
  <c r="M23" i="8" s="1"/>
  <c r="K22" i="8"/>
  <c r="M22" i="8" s="1"/>
  <c r="M21" i="8"/>
  <c r="K21" i="8"/>
  <c r="K20" i="8"/>
  <c r="M20" i="8" s="1"/>
  <c r="K19" i="8"/>
  <c r="M19" i="8" s="1"/>
  <c r="M18" i="8"/>
  <c r="K18" i="8"/>
  <c r="K17" i="8"/>
  <c r="M17" i="8" s="1"/>
  <c r="K16" i="8"/>
  <c r="M16" i="8" s="1"/>
  <c r="M15" i="8"/>
  <c r="K15" i="8"/>
  <c r="K14" i="8"/>
  <c r="M14" i="8" s="1"/>
  <c r="M13" i="8"/>
  <c r="K13" i="8"/>
  <c r="M12" i="8"/>
  <c r="K12" i="8"/>
  <c r="K11" i="8"/>
  <c r="M11" i="8" s="1"/>
  <c r="K10" i="8"/>
  <c r="M10" i="8" s="1"/>
  <c r="M9" i="8"/>
  <c r="K9" i="8"/>
  <c r="K8" i="8"/>
  <c r="A5" i="8"/>
  <c r="A4" i="8"/>
  <c r="A3" i="8"/>
  <c r="A2" i="8"/>
  <c r="A1" i="8"/>
  <c r="F58" i="7"/>
  <c r="F48" i="7" s="1"/>
  <c r="H47" i="7"/>
  <c r="H58" i="7" s="1"/>
  <c r="H52" i="7" s="1"/>
  <c r="F47" i="7"/>
  <c r="B47" i="7"/>
  <c r="J46" i="7"/>
  <c r="D46" i="7"/>
  <c r="J45" i="7"/>
  <c r="D45" i="7"/>
  <c r="J44" i="7"/>
  <c r="D44" i="7"/>
  <c r="J43" i="7"/>
  <c r="D43" i="7"/>
  <c r="J42" i="7"/>
  <c r="D42" i="7"/>
  <c r="J41" i="7"/>
  <c r="D41" i="7"/>
  <c r="J40" i="7"/>
  <c r="D40" i="7"/>
  <c r="J39" i="7"/>
  <c r="D39" i="7"/>
  <c r="J38" i="7"/>
  <c r="D38" i="7"/>
  <c r="J37" i="7"/>
  <c r="D37" i="7"/>
  <c r="J36" i="7"/>
  <c r="D36" i="7"/>
  <c r="J35" i="7"/>
  <c r="D35" i="7"/>
  <c r="J34" i="7"/>
  <c r="D34" i="7"/>
  <c r="J33" i="7"/>
  <c r="D33" i="7"/>
  <c r="J32" i="7"/>
  <c r="D32" i="7"/>
  <c r="J31" i="7"/>
  <c r="D31" i="7"/>
  <c r="J30" i="7"/>
  <c r="D30" i="7"/>
  <c r="J29" i="7"/>
  <c r="D29" i="7"/>
  <c r="J28" i="7"/>
  <c r="D28" i="7"/>
  <c r="J27" i="7"/>
  <c r="D27" i="7"/>
  <c r="J26" i="7"/>
  <c r="D26" i="7"/>
  <c r="J25" i="7"/>
  <c r="D25" i="7"/>
  <c r="J24" i="7"/>
  <c r="D24" i="7"/>
  <c r="J23" i="7"/>
  <c r="D23" i="7"/>
  <c r="J22" i="7"/>
  <c r="D22" i="7"/>
  <c r="J21" i="7"/>
  <c r="D21" i="7"/>
  <c r="J20" i="7"/>
  <c r="D20" i="7"/>
  <c r="J19" i="7"/>
  <c r="D19" i="7"/>
  <c r="J18" i="7"/>
  <c r="D18" i="7"/>
  <c r="J17" i="7"/>
  <c r="D17" i="7"/>
  <c r="H16" i="7"/>
  <c r="D16" i="7"/>
  <c r="H15" i="7"/>
  <c r="J15" i="7" s="1"/>
  <c r="D15" i="7"/>
  <c r="J14" i="7"/>
  <c r="D14" i="7"/>
  <c r="J13" i="7"/>
  <c r="D13" i="7"/>
  <c r="J12" i="7"/>
  <c r="D12" i="7"/>
  <c r="J11" i="7"/>
  <c r="D11" i="7"/>
  <c r="J10" i="7"/>
  <c r="D10" i="7"/>
  <c r="J9" i="7"/>
  <c r="D9" i="7"/>
  <c r="J8" i="7"/>
  <c r="D8" i="7"/>
  <c r="J7" i="7"/>
  <c r="D7" i="7"/>
  <c r="A5" i="7"/>
  <c r="A4" i="7"/>
  <c r="A3" i="7"/>
  <c r="A2" i="7"/>
  <c r="A1" i="7"/>
  <c r="L58" i="6"/>
  <c r="L51" i="6" s="1"/>
  <c r="M51" i="6" s="1"/>
  <c r="J58" i="6"/>
  <c r="H58" i="6"/>
  <c r="G58" i="6"/>
  <c r="D58" i="6"/>
  <c r="B58" i="6"/>
  <c r="B51" i="6" s="1"/>
  <c r="C51" i="6" s="1"/>
  <c r="L56" i="6"/>
  <c r="M56" i="6" s="1"/>
  <c r="J56" i="6"/>
  <c r="M55" i="6"/>
  <c r="L55" i="6"/>
  <c r="L54" i="6"/>
  <c r="M54" i="6" s="1"/>
  <c r="K54" i="6"/>
  <c r="J54" i="6"/>
  <c r="B54" i="6"/>
  <c r="C54" i="6" s="1"/>
  <c r="M53" i="6"/>
  <c r="L53" i="6"/>
  <c r="K53" i="6"/>
  <c r="J53" i="6"/>
  <c r="D53" i="6"/>
  <c r="E53" i="6" s="1"/>
  <c r="L52" i="6"/>
  <c r="M52" i="6" s="1"/>
  <c r="I51" i="6"/>
  <c r="H51" i="6"/>
  <c r="L50" i="6"/>
  <c r="M50" i="6" s="1"/>
  <c r="J50" i="6"/>
  <c r="D50" i="6"/>
  <c r="E50" i="6" s="1"/>
  <c r="M49" i="6"/>
  <c r="L49" i="6"/>
  <c r="L59" i="6" s="1"/>
  <c r="L48" i="6"/>
  <c r="D48" i="6"/>
  <c r="N47" i="6"/>
  <c r="L47" i="6"/>
  <c r="J47" i="6"/>
  <c r="H47" i="6"/>
  <c r="D47" i="6"/>
  <c r="B47" i="6"/>
  <c r="F46" i="6"/>
  <c r="F45" i="6"/>
  <c r="F44" i="6"/>
  <c r="F43" i="6"/>
  <c r="I42" i="6"/>
  <c r="F42" i="6"/>
  <c r="F41" i="6"/>
  <c r="F40" i="6"/>
  <c r="G39" i="6"/>
  <c r="F39" i="6"/>
  <c r="G38" i="6"/>
  <c r="F38" i="6"/>
  <c r="F37" i="6"/>
  <c r="F36" i="6"/>
  <c r="G35" i="6"/>
  <c r="F35" i="6"/>
  <c r="G34" i="6"/>
  <c r="F34" i="6"/>
  <c r="F33" i="6"/>
  <c r="F32" i="6"/>
  <c r="E32" i="6"/>
  <c r="G32" i="6" s="1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A5" i="6"/>
  <c r="A4" i="6"/>
  <c r="A3" i="6"/>
  <c r="A2" i="6"/>
  <c r="A1" i="6"/>
  <c r="AI60" i="5"/>
  <c r="AE60" i="5"/>
  <c r="D60" i="5"/>
  <c r="K58" i="5"/>
  <c r="J58" i="5"/>
  <c r="H58" i="5"/>
  <c r="I58" i="5" s="1"/>
  <c r="I57" i="5"/>
  <c r="H57" i="5"/>
  <c r="L56" i="5"/>
  <c r="M56" i="5" s="1"/>
  <c r="I56" i="5"/>
  <c r="H56" i="5"/>
  <c r="L55" i="5"/>
  <c r="M55" i="5" s="1"/>
  <c r="I55" i="5"/>
  <c r="H55" i="5"/>
  <c r="D55" i="5"/>
  <c r="E55" i="5" s="1"/>
  <c r="H54" i="5"/>
  <c r="I54" i="5" s="1"/>
  <c r="H53" i="5"/>
  <c r="I53" i="5" s="1"/>
  <c r="E53" i="5"/>
  <c r="D53" i="5"/>
  <c r="H52" i="5"/>
  <c r="I52" i="5" s="1"/>
  <c r="D52" i="5"/>
  <c r="E52" i="5" s="1"/>
  <c r="H51" i="5"/>
  <c r="H61" i="5" s="1"/>
  <c r="H50" i="5"/>
  <c r="L49" i="5"/>
  <c r="L60" i="5" s="1"/>
  <c r="L53" i="5" s="1"/>
  <c r="M53" i="5" s="1"/>
  <c r="J49" i="5"/>
  <c r="J60" i="5" s="1"/>
  <c r="J54" i="5" s="1"/>
  <c r="K54" i="5" s="1"/>
  <c r="H49" i="5"/>
  <c r="H60" i="5" s="1"/>
  <c r="F49" i="5"/>
  <c r="F60" i="5" s="1"/>
  <c r="B49" i="5"/>
  <c r="A5" i="5"/>
  <c r="A4" i="5"/>
  <c r="A3" i="5"/>
  <c r="A2" i="5"/>
  <c r="A1" i="5"/>
  <c r="L58" i="3"/>
  <c r="B58" i="3"/>
  <c r="B56" i="3" s="1"/>
  <c r="C56" i="3" s="1"/>
  <c r="L56" i="3"/>
  <c r="M56" i="3" s="1"/>
  <c r="F56" i="3"/>
  <c r="L53" i="3"/>
  <c r="M53" i="3" s="1"/>
  <c r="L52" i="3"/>
  <c r="M52" i="3" s="1"/>
  <c r="B51" i="3"/>
  <c r="C51" i="3" s="1"/>
  <c r="M50" i="3"/>
  <c r="B50" i="3"/>
  <c r="C50" i="3" s="1"/>
  <c r="M49" i="3"/>
  <c r="P47" i="3"/>
  <c r="P58" i="3" s="1"/>
  <c r="P55" i="3" s="1"/>
  <c r="Q55" i="3" s="1"/>
  <c r="N47" i="3"/>
  <c r="N58" i="3" s="1"/>
  <c r="L47" i="3"/>
  <c r="J47" i="3"/>
  <c r="J58" i="3" s="1"/>
  <c r="H47" i="3"/>
  <c r="H58" i="3" s="1"/>
  <c r="F47" i="3"/>
  <c r="F58" i="3" s="1"/>
  <c r="F49" i="3" s="1"/>
  <c r="G49" i="3" s="1"/>
  <c r="R46" i="3"/>
  <c r="N46" i="12" s="1"/>
  <c r="D46" i="3"/>
  <c r="L46" i="12" s="1"/>
  <c r="R45" i="3"/>
  <c r="N45" i="12" s="1"/>
  <c r="D45" i="3"/>
  <c r="L45" i="12" s="1"/>
  <c r="R44" i="3"/>
  <c r="N44" i="12" s="1"/>
  <c r="D44" i="3"/>
  <c r="L44" i="12" s="1"/>
  <c r="R43" i="3"/>
  <c r="N43" i="12" s="1"/>
  <c r="D43" i="3"/>
  <c r="L43" i="12" s="1"/>
  <c r="L42" i="3"/>
  <c r="D42" i="3"/>
  <c r="L42" i="12" s="1"/>
  <c r="R41" i="3"/>
  <c r="N41" i="12" s="1"/>
  <c r="D41" i="3"/>
  <c r="L41" i="12" s="1"/>
  <c r="R40" i="3"/>
  <c r="N40" i="12" s="1"/>
  <c r="D40" i="3"/>
  <c r="L40" i="12" s="1"/>
  <c r="R39" i="3"/>
  <c r="N39" i="12" s="1"/>
  <c r="D39" i="3"/>
  <c r="L39" i="12" s="1"/>
  <c r="R38" i="3"/>
  <c r="N38" i="12" s="1"/>
  <c r="D38" i="3"/>
  <c r="L38" i="12" s="1"/>
  <c r="R37" i="3"/>
  <c r="N37" i="12" s="1"/>
  <c r="D37" i="3"/>
  <c r="L37" i="12" s="1"/>
  <c r="R36" i="3"/>
  <c r="N36" i="12" s="1"/>
  <c r="D36" i="3"/>
  <c r="L36" i="12" s="1"/>
  <c r="R35" i="3"/>
  <c r="N35" i="12" s="1"/>
  <c r="D35" i="3"/>
  <c r="L35" i="12" s="1"/>
  <c r="R34" i="3"/>
  <c r="N34" i="12" s="1"/>
  <c r="D34" i="3"/>
  <c r="L34" i="12" s="1"/>
  <c r="R33" i="3"/>
  <c r="N33" i="12" s="1"/>
  <c r="D33" i="3"/>
  <c r="L33" i="12" s="1"/>
  <c r="R32" i="3"/>
  <c r="N32" i="12" s="1"/>
  <c r="D32" i="3"/>
  <c r="L32" i="12" s="1"/>
  <c r="R31" i="3"/>
  <c r="N31" i="12" s="1"/>
  <c r="D31" i="3"/>
  <c r="L31" i="12" s="1"/>
  <c r="R30" i="3"/>
  <c r="N30" i="12" s="1"/>
  <c r="D30" i="3"/>
  <c r="L30" i="12" s="1"/>
  <c r="R29" i="3"/>
  <c r="N29" i="12" s="1"/>
  <c r="R28" i="3"/>
  <c r="N28" i="12" s="1"/>
  <c r="D28" i="3"/>
  <c r="L28" i="12" s="1"/>
  <c r="R27" i="3"/>
  <c r="N27" i="12" s="1"/>
  <c r="D27" i="3"/>
  <c r="L27" i="12" s="1"/>
  <c r="R26" i="3"/>
  <c r="N26" i="12" s="1"/>
  <c r="D26" i="3"/>
  <c r="L26" i="12" s="1"/>
  <c r="R25" i="3"/>
  <c r="N25" i="12" s="1"/>
  <c r="D25" i="3"/>
  <c r="L25" i="12" s="1"/>
  <c r="R24" i="3"/>
  <c r="N24" i="12" s="1"/>
  <c r="D24" i="3"/>
  <c r="L24" i="12" s="1"/>
  <c r="R23" i="3"/>
  <c r="N23" i="12" s="1"/>
  <c r="D23" i="3"/>
  <c r="L23" i="12" s="1"/>
  <c r="R22" i="3"/>
  <c r="N22" i="12" s="1"/>
  <c r="D22" i="3"/>
  <c r="L22" i="12" s="1"/>
  <c r="R21" i="3"/>
  <c r="N21" i="12" s="1"/>
  <c r="D21" i="3"/>
  <c r="L21" i="12" s="1"/>
  <c r="R20" i="3"/>
  <c r="N20" i="12" s="1"/>
  <c r="D20" i="3"/>
  <c r="L20" i="12" s="1"/>
  <c r="R19" i="3"/>
  <c r="N19" i="12" s="1"/>
  <c r="D19" i="3"/>
  <c r="L19" i="12" s="1"/>
  <c r="R18" i="3"/>
  <c r="N18" i="12" s="1"/>
  <c r="R17" i="3"/>
  <c r="N17" i="12" s="1"/>
  <c r="R16" i="3"/>
  <c r="N16" i="12" s="1"/>
  <c r="D16" i="3"/>
  <c r="L16" i="12" s="1"/>
  <c r="P15" i="3"/>
  <c r="R15" i="3" s="1"/>
  <c r="N15" i="12" s="1"/>
  <c r="R14" i="3"/>
  <c r="N14" i="12" s="1"/>
  <c r="R13" i="3"/>
  <c r="N13" i="12" s="1"/>
  <c r="D13" i="3"/>
  <c r="L13" i="12" s="1"/>
  <c r="R12" i="3"/>
  <c r="N12" i="12" s="1"/>
  <c r="R11" i="3"/>
  <c r="N11" i="12" s="1"/>
  <c r="R10" i="3"/>
  <c r="N10" i="12" s="1"/>
  <c r="D10" i="3"/>
  <c r="L10" i="12" s="1"/>
  <c r="R9" i="3"/>
  <c r="N9" i="12" s="1"/>
  <c r="R8" i="3"/>
  <c r="N8" i="12" s="1"/>
  <c r="R7" i="3"/>
  <c r="N7" i="12" s="1"/>
  <c r="D7" i="3"/>
  <c r="A5" i="3"/>
  <c r="A4" i="3"/>
  <c r="A3" i="3"/>
  <c r="A2" i="3"/>
  <c r="A1" i="3"/>
  <c r="AK60" i="2"/>
  <c r="AG60" i="2"/>
  <c r="O59" i="2"/>
  <c r="K59" i="2"/>
  <c r="H59" i="2"/>
  <c r="F59" i="2"/>
  <c r="D59" i="2"/>
  <c r="U58" i="2"/>
  <c r="S58" i="2"/>
  <c r="S48" i="2" s="1"/>
  <c r="Q58" i="2"/>
  <c r="Q54" i="2" s="1"/>
  <c r="R54" i="2" s="1"/>
  <c r="N58" i="2"/>
  <c r="N49" i="2" s="1"/>
  <c r="E58" i="2"/>
  <c r="B58" i="2"/>
  <c r="I58" i="2" s="1"/>
  <c r="J58" i="12" s="1"/>
  <c r="AU57" i="2"/>
  <c r="AS57" i="2"/>
  <c r="AQ57" i="2"/>
  <c r="H57" i="2"/>
  <c r="F57" i="2"/>
  <c r="D57" i="2"/>
  <c r="AS56" i="2"/>
  <c r="AO56" i="2"/>
  <c r="S56" i="2"/>
  <c r="T56" i="2" s="1"/>
  <c r="N56" i="2"/>
  <c r="P56" i="2" s="1"/>
  <c r="L56" i="2"/>
  <c r="B56" i="2"/>
  <c r="C56" i="2" s="1"/>
  <c r="AS55" i="2"/>
  <c r="AO55" i="2"/>
  <c r="S55" i="2"/>
  <c r="T55" i="2" s="1"/>
  <c r="L55" i="2"/>
  <c r="M55" i="2" s="1"/>
  <c r="B55" i="2"/>
  <c r="C55" i="2" s="1"/>
  <c r="AS54" i="2"/>
  <c r="AO54" i="2"/>
  <c r="T54" i="2"/>
  <c r="S54" i="2"/>
  <c r="N54" i="2"/>
  <c r="P54" i="2" s="1"/>
  <c r="L54" i="2"/>
  <c r="AS53" i="2"/>
  <c r="AO53" i="2"/>
  <c r="S53" i="2"/>
  <c r="T53" i="2" s="1"/>
  <c r="B53" i="2"/>
  <c r="C53" i="2" s="1"/>
  <c r="AS52" i="2"/>
  <c r="AO52" i="2"/>
  <c r="S52" i="2"/>
  <c r="T52" i="2" s="1"/>
  <c r="Q52" i="2"/>
  <c r="R52" i="2" s="1"/>
  <c r="N52" i="2"/>
  <c r="P52" i="2" s="1"/>
  <c r="B52" i="2"/>
  <c r="C52" i="2" s="1"/>
  <c r="AS51" i="2"/>
  <c r="AO51" i="2"/>
  <c r="B51" i="2"/>
  <c r="C51" i="2" s="1"/>
  <c r="AS50" i="2"/>
  <c r="AO50" i="2"/>
  <c r="R50" i="2"/>
  <c r="Q50" i="2"/>
  <c r="N50" i="2"/>
  <c r="P50" i="2" s="1"/>
  <c r="I50" i="2"/>
  <c r="J50" i="12" s="1"/>
  <c r="G50" i="2"/>
  <c r="J50" i="2" s="1"/>
  <c r="K50" i="12" s="1"/>
  <c r="C50" i="2"/>
  <c r="AS49" i="2"/>
  <c r="AO49" i="2"/>
  <c r="S49" i="2"/>
  <c r="T49" i="2" s="1"/>
  <c r="Q49" i="2"/>
  <c r="P49" i="2"/>
  <c r="I49" i="2"/>
  <c r="G49" i="2"/>
  <c r="C49" i="2"/>
  <c r="AS48" i="2"/>
  <c r="AO48" i="2"/>
  <c r="L48" i="2"/>
  <c r="J48" i="2"/>
  <c r="K48" i="12" s="1"/>
  <c r="I48" i="2"/>
  <c r="J48" i="12" s="1"/>
  <c r="AS47" i="2"/>
  <c r="AO47" i="2"/>
  <c r="U47" i="2"/>
  <c r="S47" i="2"/>
  <c r="Q47" i="2"/>
  <c r="N47" i="2"/>
  <c r="L47" i="2"/>
  <c r="L58" i="2" s="1"/>
  <c r="L49" i="2" s="1"/>
  <c r="J47" i="2"/>
  <c r="K47" i="12" s="1"/>
  <c r="E47" i="2"/>
  <c r="B47" i="2"/>
  <c r="AS46" i="2"/>
  <c r="AO46" i="2"/>
  <c r="J46" i="2"/>
  <c r="K46" i="12" s="1"/>
  <c r="I46" i="2"/>
  <c r="J46" i="12" s="1"/>
  <c r="AS45" i="2"/>
  <c r="AO45" i="2"/>
  <c r="J45" i="2"/>
  <c r="K45" i="12" s="1"/>
  <c r="I45" i="2"/>
  <c r="J45" i="12" s="1"/>
  <c r="AS44" i="2"/>
  <c r="AO44" i="2"/>
  <c r="J44" i="2"/>
  <c r="I44" i="2"/>
  <c r="J44" i="12" s="1"/>
  <c r="AS43" i="2"/>
  <c r="AO43" i="2"/>
  <c r="I43" i="2"/>
  <c r="J43" i="12" s="1"/>
  <c r="AS42" i="2"/>
  <c r="AO42" i="2"/>
  <c r="J42" i="2"/>
  <c r="K42" i="12" s="1"/>
  <c r="I42" i="2"/>
  <c r="J42" i="12" s="1"/>
  <c r="AS41" i="2"/>
  <c r="AO41" i="2"/>
  <c r="I41" i="2"/>
  <c r="J41" i="12" s="1"/>
  <c r="AS40" i="2"/>
  <c r="AO40" i="2"/>
  <c r="I40" i="2"/>
  <c r="J40" i="12" s="1"/>
  <c r="I39" i="2"/>
  <c r="J39" i="12" s="1"/>
  <c r="I38" i="2"/>
  <c r="J38" i="12" s="1"/>
  <c r="I37" i="2"/>
  <c r="J37" i="12" s="1"/>
  <c r="AS36" i="2"/>
  <c r="AO36" i="2"/>
  <c r="I36" i="2"/>
  <c r="J36" i="12" s="1"/>
  <c r="AS35" i="2"/>
  <c r="AO35" i="2"/>
  <c r="I35" i="2"/>
  <c r="J35" i="12" s="1"/>
  <c r="AS34" i="2"/>
  <c r="AO34" i="2"/>
  <c r="I34" i="2"/>
  <c r="J34" i="12" s="1"/>
  <c r="AS33" i="2"/>
  <c r="AO33" i="2"/>
  <c r="I33" i="2"/>
  <c r="J33" i="12" s="1"/>
  <c r="AS32" i="2"/>
  <c r="AO32" i="2"/>
  <c r="I32" i="2"/>
  <c r="J32" i="12" s="1"/>
  <c r="AS31" i="2"/>
  <c r="AO31" i="2"/>
  <c r="I31" i="2"/>
  <c r="J31" i="12" s="1"/>
  <c r="I30" i="2"/>
  <c r="J30" i="12" s="1"/>
  <c r="AS29" i="2"/>
  <c r="AO29" i="2"/>
  <c r="AO57" i="2" s="1"/>
  <c r="L29" i="2"/>
  <c r="D29" i="3" s="1"/>
  <c r="L29" i="12" s="1"/>
  <c r="I29" i="2"/>
  <c r="J29" i="12" s="1"/>
  <c r="I28" i="2"/>
  <c r="J28" i="12" s="1"/>
  <c r="I27" i="2"/>
  <c r="J27" i="12" s="1"/>
  <c r="I26" i="2"/>
  <c r="J26" i="12" s="1"/>
  <c r="I25" i="2"/>
  <c r="I24" i="2"/>
  <c r="J24" i="12" s="1"/>
  <c r="I23" i="2"/>
  <c r="J23" i="12" s="1"/>
  <c r="I22" i="2"/>
  <c r="J22" i="12" s="1"/>
  <c r="I21" i="2"/>
  <c r="J21" i="12" s="1"/>
  <c r="I20" i="2"/>
  <c r="I19" i="2"/>
  <c r="J19" i="12" s="1"/>
  <c r="Q18" i="2"/>
  <c r="D18" i="3" s="1"/>
  <c r="L18" i="12" s="1"/>
  <c r="I18" i="2"/>
  <c r="J18" i="12" s="1"/>
  <c r="Q17" i="2"/>
  <c r="D17" i="3" s="1"/>
  <c r="L17" i="12" s="1"/>
  <c r="I17" i="2"/>
  <c r="J17" i="12" s="1"/>
  <c r="Q16" i="2"/>
  <c r="I16" i="2"/>
  <c r="J16" i="12" s="1"/>
  <c r="Q15" i="2"/>
  <c r="D15" i="3" s="1"/>
  <c r="L15" i="12" s="1"/>
  <c r="I15" i="2"/>
  <c r="J15" i="12" s="1"/>
  <c r="Q14" i="2"/>
  <c r="D14" i="3" s="1"/>
  <c r="L14" i="12" s="1"/>
  <c r="I14" i="2"/>
  <c r="J14" i="12" s="1"/>
  <c r="Q13" i="2"/>
  <c r="I13" i="2"/>
  <c r="J13" i="12" s="1"/>
  <c r="Q12" i="2"/>
  <c r="D12" i="3" s="1"/>
  <c r="L12" i="12" s="1"/>
  <c r="I12" i="2"/>
  <c r="J12" i="12" s="1"/>
  <c r="Q11" i="2"/>
  <c r="D11" i="3" s="1"/>
  <c r="L11" i="12" s="1"/>
  <c r="I11" i="2"/>
  <c r="J11" i="12" s="1"/>
  <c r="Q10" i="2"/>
  <c r="I10" i="2"/>
  <c r="J10" i="12" s="1"/>
  <c r="Q9" i="2"/>
  <c r="D9" i="3" s="1"/>
  <c r="L9" i="12" s="1"/>
  <c r="I9" i="2"/>
  <c r="J9" i="12" s="1"/>
  <c r="Q8" i="2"/>
  <c r="D8" i="3" s="1"/>
  <c r="L8" i="12" s="1"/>
  <c r="I8" i="2"/>
  <c r="J8" i="12" s="1"/>
  <c r="Q7" i="2"/>
  <c r="I7" i="2"/>
  <c r="J7" i="12" s="1"/>
  <c r="A5" i="2"/>
  <c r="A4" i="2"/>
  <c r="A3" i="2"/>
  <c r="A2" i="2"/>
  <c r="A1" i="2"/>
  <c r="AI59" i="1"/>
  <c r="AE59" i="1"/>
  <c r="AD59" i="1"/>
  <c r="AB59" i="1"/>
  <c r="AA59" i="1"/>
  <c r="Z59" i="1"/>
  <c r="Y59" i="1"/>
  <c r="X59" i="1"/>
  <c r="V59" i="1"/>
  <c r="U59" i="1"/>
  <c r="T59" i="1"/>
  <c r="S59" i="1"/>
  <c r="P59" i="1"/>
  <c r="M59" i="1"/>
  <c r="J59" i="1"/>
  <c r="G59" i="1"/>
  <c r="D59" i="1"/>
  <c r="AG58" i="1"/>
  <c r="O58" i="1"/>
  <c r="C58" i="12" s="1"/>
  <c r="K58" i="1"/>
  <c r="H58" i="1"/>
  <c r="H51" i="1" s="1"/>
  <c r="I51" i="1" s="1"/>
  <c r="E58" i="1"/>
  <c r="B58" i="1"/>
  <c r="B50" i="1" s="1"/>
  <c r="AE57" i="1"/>
  <c r="AD57" i="1"/>
  <c r="AB57" i="1"/>
  <c r="AA57" i="1"/>
  <c r="Z57" i="1"/>
  <c r="Y57" i="1"/>
  <c r="X57" i="1"/>
  <c r="U57" i="1"/>
  <c r="T57" i="1"/>
  <c r="D57" i="1"/>
  <c r="AF56" i="1"/>
  <c r="AC56" i="1"/>
  <c r="W56" i="1"/>
  <c r="L56" i="1"/>
  <c r="K56" i="1"/>
  <c r="E56" i="1"/>
  <c r="F56" i="1" s="1"/>
  <c r="B56" i="1"/>
  <c r="AF55" i="1"/>
  <c r="AC55" i="1"/>
  <c r="W55" i="1"/>
  <c r="K55" i="1"/>
  <c r="L55" i="1" s="1"/>
  <c r="AG54" i="1"/>
  <c r="F54" i="12" s="1"/>
  <c r="AF54" i="1"/>
  <c r="AC54" i="1"/>
  <c r="W54" i="1"/>
  <c r="K54" i="1"/>
  <c r="L54" i="1" s="1"/>
  <c r="E54" i="1"/>
  <c r="F54" i="1" s="1"/>
  <c r="B54" i="1"/>
  <c r="C54" i="1" s="1"/>
  <c r="AG53" i="1"/>
  <c r="F53" i="12" s="1"/>
  <c r="AF53" i="1"/>
  <c r="AC53" i="1"/>
  <c r="W53" i="1"/>
  <c r="K53" i="1"/>
  <c r="L53" i="1" s="1"/>
  <c r="AG52" i="1"/>
  <c r="F52" i="12" s="1"/>
  <c r="AF52" i="1"/>
  <c r="AC52" i="1"/>
  <c r="W52" i="1"/>
  <c r="K52" i="1"/>
  <c r="L52" i="1" s="1"/>
  <c r="E52" i="1"/>
  <c r="F52" i="1" s="1"/>
  <c r="AG51" i="1"/>
  <c r="AF51" i="1"/>
  <c r="AC51" i="1"/>
  <c r="W51" i="1"/>
  <c r="K51" i="1"/>
  <c r="L51" i="1" s="1"/>
  <c r="B51" i="1"/>
  <c r="C51" i="1" s="1"/>
  <c r="AG50" i="1"/>
  <c r="F50" i="12" s="1"/>
  <c r="AF50" i="1"/>
  <c r="AC50" i="1"/>
  <c r="W50" i="1"/>
  <c r="W59" i="1" s="1"/>
  <c r="L50" i="1"/>
  <c r="F50" i="1"/>
  <c r="AG49" i="1"/>
  <c r="AF49" i="1"/>
  <c r="AC49" i="1"/>
  <c r="AC59" i="1" s="1"/>
  <c r="W49" i="1"/>
  <c r="L49" i="1"/>
  <c r="F49" i="1"/>
  <c r="AG48" i="1"/>
  <c r="AF48" i="1"/>
  <c r="AC48" i="1"/>
  <c r="W48" i="1"/>
  <c r="O48" i="1"/>
  <c r="C48" i="12" s="1"/>
  <c r="AJ47" i="1"/>
  <c r="AG47" i="1"/>
  <c r="F47" i="12" s="1"/>
  <c r="AF47" i="1"/>
  <c r="AC47" i="1"/>
  <c r="AC57" i="1" s="1"/>
  <c r="W47" i="1"/>
  <c r="Q47" i="1"/>
  <c r="D47" i="12" s="1"/>
  <c r="O47" i="1"/>
  <c r="C47" i="12" s="1"/>
  <c r="K47" i="1"/>
  <c r="H47" i="1"/>
  <c r="E47" i="1"/>
  <c r="N47" i="1" s="1"/>
  <c r="B47" i="12" s="1"/>
  <c r="B47" i="1"/>
  <c r="AF46" i="1"/>
  <c r="AC46" i="1"/>
  <c r="W46" i="1"/>
  <c r="W57" i="1" s="1"/>
  <c r="O46" i="1"/>
  <c r="C46" i="12" s="1"/>
  <c r="N46" i="1"/>
  <c r="B46" i="12" s="1"/>
  <c r="AF45" i="1"/>
  <c r="AC45" i="1"/>
  <c r="W45" i="1"/>
  <c r="O45" i="1"/>
  <c r="C45" i="12" s="1"/>
  <c r="N45" i="1"/>
  <c r="B45" i="12" s="1"/>
  <c r="AF44" i="1"/>
  <c r="AF57" i="1" s="1"/>
  <c r="AC44" i="1"/>
  <c r="W44" i="1"/>
  <c r="O44" i="1"/>
  <c r="C44" i="12" s="1"/>
  <c r="N44" i="1"/>
  <c r="B44" i="12" s="1"/>
  <c r="H44" i="14" s="1"/>
  <c r="K44" i="14" s="1"/>
  <c r="N43" i="1"/>
  <c r="B43" i="12" s="1"/>
  <c r="H43" i="14" s="1"/>
  <c r="K43" i="14" s="1"/>
  <c r="O42" i="1"/>
  <c r="C42" i="12" s="1"/>
  <c r="I42" i="14" s="1"/>
  <c r="N42" i="1"/>
  <c r="B42" i="12" s="1"/>
  <c r="N41" i="1"/>
  <c r="B41" i="12" s="1"/>
  <c r="K40" i="1"/>
  <c r="K57" i="1" s="1"/>
  <c r="N39" i="1"/>
  <c r="B39" i="12" s="1"/>
  <c r="N38" i="1"/>
  <c r="B38" i="12" s="1"/>
  <c r="H38" i="14" s="1"/>
  <c r="K38" i="14" s="1"/>
  <c r="N37" i="1"/>
  <c r="B37" i="12" s="1"/>
  <c r="N36" i="1"/>
  <c r="B36" i="12" s="1"/>
  <c r="H36" i="14" s="1"/>
  <c r="K36" i="14" s="1"/>
  <c r="N35" i="1"/>
  <c r="B35" i="12" s="1"/>
  <c r="AF34" i="1"/>
  <c r="AC34" i="1"/>
  <c r="W34" i="1"/>
  <c r="O34" i="1"/>
  <c r="C34" i="12" s="1"/>
  <c r="I34" i="14" s="1"/>
  <c r="N34" i="1"/>
  <c r="B34" i="12" s="1"/>
  <c r="N33" i="1"/>
  <c r="B33" i="12" s="1"/>
  <c r="AH32" i="1"/>
  <c r="G32" i="12" s="1"/>
  <c r="O32" i="1"/>
  <c r="C32" i="12" s="1"/>
  <c r="N32" i="1"/>
  <c r="B32" i="12" s="1"/>
  <c r="L32" i="1"/>
  <c r="N31" i="1"/>
  <c r="B31" i="12" s="1"/>
  <c r="N30" i="1"/>
  <c r="B30" i="12" s="1"/>
  <c r="N29" i="1"/>
  <c r="B29" i="12" s="1"/>
  <c r="H29" i="14" s="1"/>
  <c r="K29" i="14" s="1"/>
  <c r="N28" i="1"/>
  <c r="B28" i="12" s="1"/>
  <c r="AE27" i="1"/>
  <c r="AC27" i="1"/>
  <c r="Z27" i="1"/>
  <c r="U27" i="1"/>
  <c r="W27" i="1" s="1"/>
  <c r="N27" i="1"/>
  <c r="B27" i="12" s="1"/>
  <c r="H27" i="14" s="1"/>
  <c r="K27" i="14" s="1"/>
  <c r="N26" i="1"/>
  <c r="B26" i="12" s="1"/>
  <c r="N25" i="1"/>
  <c r="B25" i="12" s="1"/>
  <c r="N24" i="1"/>
  <c r="B24" i="12" s="1"/>
  <c r="N23" i="1"/>
  <c r="B23" i="12" s="1"/>
  <c r="N22" i="1"/>
  <c r="B22" i="12" s="1"/>
  <c r="N21" i="1"/>
  <c r="B21" i="12" s="1"/>
  <c r="H21" i="14" s="1"/>
  <c r="K21" i="14" s="1"/>
  <c r="N20" i="1"/>
  <c r="B20" i="12" s="1"/>
  <c r="N19" i="1"/>
  <c r="B19" i="12" s="1"/>
  <c r="N18" i="1"/>
  <c r="B18" i="12" s="1"/>
  <c r="N17" i="1"/>
  <c r="B17" i="12" s="1"/>
  <c r="H17" i="14" s="1"/>
  <c r="K17" i="14" s="1"/>
  <c r="N16" i="1"/>
  <c r="B16" i="12" s="1"/>
  <c r="N15" i="1"/>
  <c r="B15" i="12" s="1"/>
  <c r="N14" i="1"/>
  <c r="B14" i="12" s="1"/>
  <c r="N13" i="1"/>
  <c r="B13" i="12" s="1"/>
  <c r="N12" i="1"/>
  <c r="B12" i="12" s="1"/>
  <c r="N11" i="1"/>
  <c r="B11" i="12" s="1"/>
  <c r="N10" i="1"/>
  <c r="B10" i="12" s="1"/>
  <c r="N9" i="1"/>
  <c r="B9" i="12" s="1"/>
  <c r="N8" i="1"/>
  <c r="B8" i="12" s="1"/>
  <c r="N7" i="1"/>
  <c r="B7" i="12" s="1"/>
  <c r="A5" i="1"/>
  <c r="A4" i="1"/>
  <c r="A3" i="1"/>
  <c r="A2" i="1"/>
  <c r="A1" i="1"/>
  <c r="H48" i="3" l="1"/>
  <c r="H50" i="3"/>
  <c r="I50" i="3" s="1"/>
  <c r="S50" i="3" s="1"/>
  <c r="O50" i="12" s="1"/>
  <c r="H54" i="3"/>
  <c r="I54" i="3" s="1"/>
  <c r="H51" i="3"/>
  <c r="I51" i="3" s="1"/>
  <c r="H53" i="3"/>
  <c r="I53" i="3" s="1"/>
  <c r="J50" i="3"/>
  <c r="K50" i="3" s="1"/>
  <c r="J54" i="3"/>
  <c r="K54" i="3" s="1"/>
  <c r="J51" i="3"/>
  <c r="K51" i="3" s="1"/>
  <c r="N56" i="3"/>
  <c r="O56" i="3" s="1"/>
  <c r="N50" i="3"/>
  <c r="O50" i="3" s="1"/>
  <c r="O57" i="3" s="1"/>
  <c r="N52" i="3"/>
  <c r="O52" i="3" s="1"/>
  <c r="N49" i="3"/>
  <c r="O49" i="3" s="1"/>
  <c r="O59" i="3" s="1"/>
  <c r="N54" i="3"/>
  <c r="O54" i="3" s="1"/>
  <c r="B49" i="3"/>
  <c r="C49" i="3" s="1"/>
  <c r="C57" i="3" s="1"/>
  <c r="P50" i="3"/>
  <c r="Q50" i="3" s="1"/>
  <c r="F51" i="3"/>
  <c r="G51" i="3" s="1"/>
  <c r="P53" i="3"/>
  <c r="Q53" i="3" s="1"/>
  <c r="P49" i="3"/>
  <c r="Q49" i="3" s="1"/>
  <c r="B54" i="3"/>
  <c r="C54" i="3" s="1"/>
  <c r="F54" i="3"/>
  <c r="F50" i="3"/>
  <c r="G50" i="3" s="1"/>
  <c r="F52" i="3"/>
  <c r="G52" i="3" s="1"/>
  <c r="H46" i="14"/>
  <c r="K46" i="14" s="1"/>
  <c r="R47" i="3"/>
  <c r="N47" i="12" s="1"/>
  <c r="R58" i="3"/>
  <c r="N58" i="12" s="1"/>
  <c r="I46" i="14"/>
  <c r="H11" i="14"/>
  <c r="K11" i="14" s="1"/>
  <c r="B48" i="3"/>
  <c r="B57" i="3" s="1"/>
  <c r="B55" i="3"/>
  <c r="C55" i="3" s="1"/>
  <c r="F48" i="3"/>
  <c r="B53" i="3"/>
  <c r="C53" i="3" s="1"/>
  <c r="I43" i="14"/>
  <c r="H14" i="14"/>
  <c r="K14" i="14" s="1"/>
  <c r="I45" i="14"/>
  <c r="F53" i="3"/>
  <c r="G53" i="3" s="1"/>
  <c r="F56" i="7"/>
  <c r="G56" i="7" s="1"/>
  <c r="F50" i="7"/>
  <c r="G50" i="7" s="1"/>
  <c r="F51" i="7"/>
  <c r="G51" i="7" s="1"/>
  <c r="K51" i="7" s="1"/>
  <c r="F52" i="7"/>
  <c r="G52" i="7" s="1"/>
  <c r="K52" i="7" s="1"/>
  <c r="F53" i="7"/>
  <c r="G53" i="7" s="1"/>
  <c r="F54" i="7"/>
  <c r="J54" i="7" s="1"/>
  <c r="F52" i="10"/>
  <c r="G52" i="10" s="1"/>
  <c r="F55" i="10"/>
  <c r="G55" i="10" s="1"/>
  <c r="H20" i="14"/>
  <c r="K20" i="14" s="1"/>
  <c r="H28" i="14"/>
  <c r="K28" i="14" s="1"/>
  <c r="I38" i="14"/>
  <c r="H10" i="14"/>
  <c r="K10" i="14" s="1"/>
  <c r="H22" i="14"/>
  <c r="K22" i="14" s="1"/>
  <c r="I48" i="14"/>
  <c r="H31" i="14"/>
  <c r="K31" i="14" s="1"/>
  <c r="J49" i="10"/>
  <c r="K49" i="10" s="1"/>
  <c r="H32" i="14"/>
  <c r="K32" i="14" s="1"/>
  <c r="H26" i="14"/>
  <c r="K26" i="14" s="1"/>
  <c r="I32" i="14"/>
  <c r="H16" i="14"/>
  <c r="K16" i="14" s="1"/>
  <c r="J54" i="10"/>
  <c r="J55" i="10"/>
  <c r="I36" i="14"/>
  <c r="H47" i="10"/>
  <c r="B47" i="14" s="1"/>
  <c r="R56" i="3"/>
  <c r="N56" i="12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F50" i="5"/>
  <c r="C50" i="1"/>
  <c r="O50" i="1" s="1"/>
  <c r="C50" i="12" s="1"/>
  <c r="N50" i="1"/>
  <c r="B50" i="12" s="1"/>
  <c r="J52" i="2"/>
  <c r="K52" i="12" s="1"/>
  <c r="H53" i="1"/>
  <c r="I53" i="1" s="1"/>
  <c r="Q48" i="2"/>
  <c r="Q57" i="2" s="1"/>
  <c r="H24" i="14"/>
  <c r="K24" i="14" s="1"/>
  <c r="H49" i="1"/>
  <c r="H13" i="14"/>
  <c r="K13" i="14" s="1"/>
  <c r="H48" i="1"/>
  <c r="AH50" i="1"/>
  <c r="G50" i="12" s="1"/>
  <c r="AH53" i="1"/>
  <c r="G53" i="12" s="1"/>
  <c r="E57" i="1"/>
  <c r="E53" i="1"/>
  <c r="F53" i="1" s="1"/>
  <c r="E51" i="1"/>
  <c r="B54" i="2"/>
  <c r="B57" i="2"/>
  <c r="R42" i="3"/>
  <c r="N42" i="12" s="1"/>
  <c r="H42" i="14" s="1"/>
  <c r="K42" i="14" s="1"/>
  <c r="D47" i="3"/>
  <c r="L47" i="12" s="1"/>
  <c r="N53" i="3"/>
  <c r="O53" i="3" s="1"/>
  <c r="G56" i="3"/>
  <c r="M57" i="6"/>
  <c r="M59" i="6"/>
  <c r="D54" i="5"/>
  <c r="E54" i="5" s="1"/>
  <c r="D50" i="5"/>
  <c r="D56" i="5"/>
  <c r="E56" i="5" s="1"/>
  <c r="D57" i="5"/>
  <c r="E57" i="5" s="1"/>
  <c r="D51" i="5"/>
  <c r="L57" i="1"/>
  <c r="H50" i="1"/>
  <c r="I50" i="1" s="1"/>
  <c r="N58" i="1"/>
  <c r="B58" i="12" s="1"/>
  <c r="H39" i="14"/>
  <c r="K39" i="14" s="1"/>
  <c r="AH54" i="1"/>
  <c r="G54" i="12" s="1"/>
  <c r="K59" i="1"/>
  <c r="N40" i="1"/>
  <c r="B40" i="12" s="1"/>
  <c r="H40" i="14" s="1"/>
  <c r="K40" i="14" s="1"/>
  <c r="M54" i="2"/>
  <c r="L50" i="5"/>
  <c r="L57" i="5"/>
  <c r="M57" i="5" s="1"/>
  <c r="L51" i="5"/>
  <c r="L58" i="5"/>
  <c r="M58" i="5" s="1"/>
  <c r="L52" i="5"/>
  <c r="M52" i="5" s="1"/>
  <c r="D58" i="5"/>
  <c r="E58" i="5" s="1"/>
  <c r="K50" i="6"/>
  <c r="D52" i="6"/>
  <c r="E52" i="6" s="1"/>
  <c r="D55" i="6"/>
  <c r="E55" i="6" s="1"/>
  <c r="D49" i="6"/>
  <c r="D54" i="6"/>
  <c r="E54" i="6" s="1"/>
  <c r="D51" i="6"/>
  <c r="E51" i="6" s="1"/>
  <c r="D56" i="6"/>
  <c r="E56" i="6" s="1"/>
  <c r="I50" i="8"/>
  <c r="F59" i="5"/>
  <c r="K56" i="6"/>
  <c r="H15" i="14"/>
  <c r="K15" i="14" s="1"/>
  <c r="H45" i="14"/>
  <c r="K45" i="14" s="1"/>
  <c r="F51" i="12"/>
  <c r="AH51" i="1"/>
  <c r="G51" i="12" s="1"/>
  <c r="J49" i="12"/>
  <c r="H56" i="3"/>
  <c r="I56" i="3" s="1"/>
  <c r="H52" i="3"/>
  <c r="I52" i="3" s="1"/>
  <c r="S52" i="3" s="1"/>
  <c r="O52" i="12" s="1"/>
  <c r="H55" i="3"/>
  <c r="I55" i="3" s="1"/>
  <c r="H18" i="14"/>
  <c r="K18" i="14" s="1"/>
  <c r="H34" i="14"/>
  <c r="K34" i="14" s="1"/>
  <c r="I47" i="14"/>
  <c r="Q58" i="1"/>
  <c r="J49" i="2"/>
  <c r="L52" i="2"/>
  <c r="L53" i="2"/>
  <c r="Q56" i="2"/>
  <c r="R56" i="2" s="1"/>
  <c r="E55" i="2"/>
  <c r="G55" i="2" s="1"/>
  <c r="J55" i="2" s="1"/>
  <c r="K55" i="12" s="1"/>
  <c r="E53" i="2"/>
  <c r="G53" i="2" s="1"/>
  <c r="J53" i="2" s="1"/>
  <c r="K53" i="12" s="1"/>
  <c r="E51" i="2"/>
  <c r="E56" i="2"/>
  <c r="G56" i="2" s="1"/>
  <c r="J56" i="2" s="1"/>
  <c r="K56" i="12" s="1"/>
  <c r="E54" i="2"/>
  <c r="G54" i="2" s="1"/>
  <c r="E52" i="2"/>
  <c r="G52" i="2" s="1"/>
  <c r="H49" i="3"/>
  <c r="R49" i="3" s="1"/>
  <c r="J55" i="3"/>
  <c r="K55" i="3" s="1"/>
  <c r="J53" i="3"/>
  <c r="K53" i="3" s="1"/>
  <c r="J56" i="3"/>
  <c r="K56" i="3" s="1"/>
  <c r="J52" i="3"/>
  <c r="K52" i="3" s="1"/>
  <c r="J49" i="3"/>
  <c r="J48" i="3"/>
  <c r="J57" i="3" s="1"/>
  <c r="J52" i="5"/>
  <c r="K52" i="5" s="1"/>
  <c r="M56" i="2"/>
  <c r="J56" i="5"/>
  <c r="K56" i="5" s="1"/>
  <c r="J57" i="5"/>
  <c r="K57" i="5" s="1"/>
  <c r="J51" i="5"/>
  <c r="H33" i="14"/>
  <c r="K33" i="14" s="1"/>
  <c r="L59" i="1"/>
  <c r="H19" i="14"/>
  <c r="K19" i="14" s="1"/>
  <c r="H54" i="1"/>
  <c r="E55" i="1"/>
  <c r="F55" i="1" s="1"/>
  <c r="F58" i="12"/>
  <c r="AG55" i="1"/>
  <c r="AG59" i="1" s="1"/>
  <c r="F59" i="12" s="1"/>
  <c r="AG56" i="1"/>
  <c r="M49" i="2"/>
  <c r="L50" i="2"/>
  <c r="L51" i="2"/>
  <c r="L57" i="2"/>
  <c r="L7" i="12"/>
  <c r="P56" i="3"/>
  <c r="Q56" i="3" s="1"/>
  <c r="P54" i="3"/>
  <c r="Q54" i="3" s="1"/>
  <c r="P52" i="3"/>
  <c r="Q52" i="3" s="1"/>
  <c r="P48" i="3"/>
  <c r="P51" i="3"/>
  <c r="Q51" i="3" s="1"/>
  <c r="Q57" i="3" s="1"/>
  <c r="G54" i="3"/>
  <c r="L55" i="3"/>
  <c r="M55" i="3" s="1"/>
  <c r="L51" i="3"/>
  <c r="L54" i="3"/>
  <c r="M54" i="3" s="1"/>
  <c r="J50" i="5"/>
  <c r="L54" i="5"/>
  <c r="M54" i="5" s="1"/>
  <c r="D47" i="7"/>
  <c r="H56" i="6"/>
  <c r="I56" i="6" s="1"/>
  <c r="H50" i="6"/>
  <c r="I50" i="6" s="1"/>
  <c r="H48" i="6"/>
  <c r="H57" i="6" s="1"/>
  <c r="H53" i="6"/>
  <c r="I53" i="6" s="1"/>
  <c r="H52" i="6"/>
  <c r="I52" i="6" s="1"/>
  <c r="H49" i="6"/>
  <c r="H54" i="6"/>
  <c r="I54" i="6" s="1"/>
  <c r="H55" i="6"/>
  <c r="I55" i="6" s="1"/>
  <c r="I52" i="2"/>
  <c r="J52" i="12" s="1"/>
  <c r="H55" i="1"/>
  <c r="I55" i="1" s="1"/>
  <c r="Q55" i="2"/>
  <c r="R55" i="2" s="1"/>
  <c r="Q53" i="2"/>
  <c r="R53" i="2" s="1"/>
  <c r="Q51" i="2"/>
  <c r="R51" i="2" s="1"/>
  <c r="N55" i="3"/>
  <c r="O55" i="3" s="1"/>
  <c r="N51" i="3"/>
  <c r="O51" i="3" s="1"/>
  <c r="N48" i="3"/>
  <c r="N58" i="6"/>
  <c r="D55" i="10"/>
  <c r="D49" i="10"/>
  <c r="D54" i="10"/>
  <c r="D52" i="10"/>
  <c r="D53" i="10"/>
  <c r="D56" i="10"/>
  <c r="D50" i="10"/>
  <c r="D48" i="10"/>
  <c r="D51" i="10"/>
  <c r="F48" i="12"/>
  <c r="AF59" i="1"/>
  <c r="AH52" i="1"/>
  <c r="G52" i="12" s="1"/>
  <c r="R49" i="2"/>
  <c r="D57" i="6"/>
  <c r="K56" i="10"/>
  <c r="F49" i="12"/>
  <c r="AH49" i="1"/>
  <c r="C56" i="1"/>
  <c r="U55" i="2"/>
  <c r="V55" i="2" s="1"/>
  <c r="U53" i="2"/>
  <c r="V53" i="2" s="1"/>
  <c r="U51" i="2"/>
  <c r="V51" i="2" s="1"/>
  <c r="U48" i="2"/>
  <c r="U57" i="2" s="1"/>
  <c r="U56" i="2"/>
  <c r="V56" i="2" s="1"/>
  <c r="U54" i="2"/>
  <c r="V54" i="2" s="1"/>
  <c r="U52" i="2"/>
  <c r="V52" i="2" s="1"/>
  <c r="U50" i="2"/>
  <c r="V50" i="2" s="1"/>
  <c r="H9" i="14"/>
  <c r="K9" i="14" s="1"/>
  <c r="S50" i="2"/>
  <c r="T50" i="2" s="1"/>
  <c r="T57" i="2" s="1"/>
  <c r="S59" i="2"/>
  <c r="H59" i="5"/>
  <c r="J16" i="7"/>
  <c r="H52" i="1"/>
  <c r="I52" i="1" s="1"/>
  <c r="K44" i="12"/>
  <c r="I44" i="14" s="1"/>
  <c r="E57" i="2"/>
  <c r="I47" i="2"/>
  <c r="J47" i="12" s="1"/>
  <c r="U49" i="2"/>
  <c r="S51" i="2"/>
  <c r="T51" i="2" s="1"/>
  <c r="H12" i="14"/>
  <c r="K12" i="14" s="1"/>
  <c r="H47" i="12"/>
  <c r="AJ58" i="1"/>
  <c r="H56" i="1"/>
  <c r="I56" i="1" s="1"/>
  <c r="B52" i="1"/>
  <c r="B55" i="1"/>
  <c r="B48" i="1"/>
  <c r="B53" i="1"/>
  <c r="B49" i="1"/>
  <c r="I51" i="5"/>
  <c r="J53" i="5"/>
  <c r="K53" i="5" s="1"/>
  <c r="J55" i="5"/>
  <c r="K55" i="5" s="1"/>
  <c r="D58" i="7"/>
  <c r="B57" i="8"/>
  <c r="B56" i="8"/>
  <c r="B55" i="8"/>
  <c r="B54" i="8"/>
  <c r="B53" i="8"/>
  <c r="B52" i="8"/>
  <c r="B51" i="8"/>
  <c r="B50" i="8"/>
  <c r="B49" i="8"/>
  <c r="H23" i="14"/>
  <c r="K23" i="14" s="1"/>
  <c r="H30" i="14"/>
  <c r="K30" i="14" s="1"/>
  <c r="H35" i="14"/>
  <c r="K35" i="14" s="1"/>
  <c r="N51" i="2"/>
  <c r="P51" i="2" s="1"/>
  <c r="N53" i="2"/>
  <c r="P53" i="2" s="1"/>
  <c r="N55" i="2"/>
  <c r="B52" i="3"/>
  <c r="C52" i="3" s="1"/>
  <c r="F55" i="3"/>
  <c r="F57" i="3" s="1"/>
  <c r="F47" i="6"/>
  <c r="F58" i="6"/>
  <c r="B48" i="6"/>
  <c r="B57" i="6" s="1"/>
  <c r="G54" i="7"/>
  <c r="I31" i="14"/>
  <c r="H25" i="14"/>
  <c r="K25" i="14" s="1"/>
  <c r="H37" i="14"/>
  <c r="K37" i="14" s="1"/>
  <c r="N48" i="2"/>
  <c r="N57" i="2" s="1"/>
  <c r="B60" i="5"/>
  <c r="B52" i="6"/>
  <c r="C52" i="6" s="1"/>
  <c r="J55" i="6"/>
  <c r="J49" i="6"/>
  <c r="J52" i="6"/>
  <c r="J51" i="6"/>
  <c r="J48" i="6"/>
  <c r="I52" i="7"/>
  <c r="L58" i="10"/>
  <c r="N47" i="10"/>
  <c r="D47" i="14" s="1"/>
  <c r="J58" i="7"/>
  <c r="H53" i="7"/>
  <c r="H48" i="7"/>
  <c r="J48" i="7" s="1"/>
  <c r="H54" i="7"/>
  <c r="I54" i="7" s="1"/>
  <c r="H56" i="7"/>
  <c r="I56" i="7" s="1"/>
  <c r="H50" i="7"/>
  <c r="F51" i="8"/>
  <c r="G51" i="8" s="1"/>
  <c r="F53" i="8"/>
  <c r="G53" i="8" s="1"/>
  <c r="F55" i="8"/>
  <c r="G55" i="8" s="1"/>
  <c r="F57" i="8"/>
  <c r="G57" i="8" s="1"/>
  <c r="K59" i="8"/>
  <c r="M59" i="8" s="1"/>
  <c r="J47" i="7"/>
  <c r="K54" i="10"/>
  <c r="H53" i="8"/>
  <c r="H60" i="8" s="1"/>
  <c r="H55" i="8"/>
  <c r="I55" i="8" s="1"/>
  <c r="H57" i="8"/>
  <c r="I57" i="8" s="1"/>
  <c r="F48" i="10"/>
  <c r="F54" i="10"/>
  <c r="G54" i="10" s="1"/>
  <c r="F53" i="10"/>
  <c r="G53" i="10" s="1"/>
  <c r="F51" i="10"/>
  <c r="G51" i="10" s="1"/>
  <c r="F49" i="10"/>
  <c r="F56" i="10"/>
  <c r="G56" i="10" s="1"/>
  <c r="F50" i="10"/>
  <c r="G50" i="10" s="1"/>
  <c r="H55" i="7"/>
  <c r="I55" i="7" s="1"/>
  <c r="B58" i="7"/>
  <c r="D58" i="3"/>
  <c r="L58" i="12" s="1"/>
  <c r="M8" i="8"/>
  <c r="J52" i="10"/>
  <c r="J51" i="10"/>
  <c r="J50" i="10"/>
  <c r="J53" i="10"/>
  <c r="J48" i="10"/>
  <c r="H51" i="7"/>
  <c r="I51" i="7" s="1"/>
  <c r="D7" i="14"/>
  <c r="K55" i="10"/>
  <c r="F50" i="8"/>
  <c r="F52" i="8"/>
  <c r="G52" i="8" s="1"/>
  <c r="F54" i="8"/>
  <c r="G54" i="8" s="1"/>
  <c r="F56" i="8"/>
  <c r="G56" i="8" s="1"/>
  <c r="D57" i="10"/>
  <c r="B53" i="6"/>
  <c r="C53" i="6" s="1"/>
  <c r="B56" i="6"/>
  <c r="C56" i="6" s="1"/>
  <c r="B50" i="6"/>
  <c r="C50" i="6" s="1"/>
  <c r="B55" i="6"/>
  <c r="C55" i="6" s="1"/>
  <c r="B49" i="6"/>
  <c r="H49" i="7"/>
  <c r="H8" i="10"/>
  <c r="F49" i="7"/>
  <c r="F55" i="7"/>
  <c r="B58" i="8"/>
  <c r="I37" i="14"/>
  <c r="J57" i="14"/>
  <c r="D59" i="8"/>
  <c r="L57" i="6"/>
  <c r="P57" i="12"/>
  <c r="Q57" i="12"/>
  <c r="G57" i="14"/>
  <c r="B58" i="10"/>
  <c r="H58" i="10" s="1"/>
  <c r="B58" i="14" s="1"/>
  <c r="F57" i="14"/>
  <c r="I33" i="14"/>
  <c r="I39" i="14"/>
  <c r="I35" i="14"/>
  <c r="I40" i="14"/>
  <c r="I41" i="14"/>
  <c r="D41" i="14"/>
  <c r="H41" i="14" s="1"/>
  <c r="K41" i="14" s="1"/>
  <c r="I30" i="14"/>
  <c r="N57" i="3" l="1"/>
  <c r="C59" i="3"/>
  <c r="P57" i="3"/>
  <c r="Q59" i="3"/>
  <c r="N59" i="3"/>
  <c r="R50" i="3"/>
  <c r="N50" i="12" s="1"/>
  <c r="H7" i="14"/>
  <c r="K7" i="14" s="1"/>
  <c r="S53" i="3"/>
  <c r="O53" i="12" s="1"/>
  <c r="B59" i="3"/>
  <c r="F59" i="3"/>
  <c r="B61" i="3"/>
  <c r="L57" i="3"/>
  <c r="D49" i="3"/>
  <c r="L49" i="12" s="1"/>
  <c r="J52" i="7"/>
  <c r="K56" i="7"/>
  <c r="J57" i="10"/>
  <c r="N49" i="12"/>
  <c r="F60" i="8"/>
  <c r="G50" i="8"/>
  <c r="K50" i="10"/>
  <c r="M49" i="8"/>
  <c r="I61" i="5"/>
  <c r="I59" i="5"/>
  <c r="U59" i="2"/>
  <c r="V49" i="2"/>
  <c r="Q59" i="2"/>
  <c r="H56" i="10"/>
  <c r="B56" i="14" s="1"/>
  <c r="E56" i="10"/>
  <c r="H59" i="6"/>
  <c r="I49" i="6"/>
  <c r="S54" i="3"/>
  <c r="O54" i="12" s="1"/>
  <c r="E49" i="3"/>
  <c r="R53" i="3"/>
  <c r="N53" i="12" s="1"/>
  <c r="I49" i="7"/>
  <c r="H59" i="7"/>
  <c r="K51" i="10"/>
  <c r="B56" i="7"/>
  <c r="C56" i="7" s="1"/>
  <c r="B50" i="7"/>
  <c r="C50" i="7" s="1"/>
  <c r="B51" i="7"/>
  <c r="C51" i="7" s="1"/>
  <c r="B48" i="7"/>
  <c r="B53" i="7"/>
  <c r="C53" i="7" s="1"/>
  <c r="B54" i="7"/>
  <c r="C54" i="7" s="1"/>
  <c r="B52" i="7"/>
  <c r="C52" i="7" s="1"/>
  <c r="B49" i="7"/>
  <c r="B55" i="7"/>
  <c r="C55" i="7" s="1"/>
  <c r="B60" i="8"/>
  <c r="C50" i="8"/>
  <c r="I56" i="2"/>
  <c r="J56" i="12" s="1"/>
  <c r="R57" i="2"/>
  <c r="R59" i="2"/>
  <c r="E53" i="10"/>
  <c r="I53" i="10" s="1"/>
  <c r="C53" i="14" s="1"/>
  <c r="R51" i="3"/>
  <c r="N51" i="12" s="1"/>
  <c r="F56" i="12"/>
  <c r="AH56" i="1"/>
  <c r="G56" i="12" s="1"/>
  <c r="J61" i="5"/>
  <c r="K51" i="5"/>
  <c r="D53" i="3"/>
  <c r="L53" i="12" s="1"/>
  <c r="M53" i="2"/>
  <c r="E53" i="3" s="1"/>
  <c r="M53" i="12" s="1"/>
  <c r="E51" i="5"/>
  <c r="D61" i="5"/>
  <c r="S56" i="3"/>
  <c r="O56" i="12" s="1"/>
  <c r="N59" i="2"/>
  <c r="G51" i="5"/>
  <c r="F61" i="5"/>
  <c r="C49" i="1"/>
  <c r="B59" i="1"/>
  <c r="N49" i="1"/>
  <c r="O56" i="1"/>
  <c r="C56" i="12" s="1"/>
  <c r="E52" i="10"/>
  <c r="F55" i="12"/>
  <c r="F57" i="12" s="1"/>
  <c r="AH55" i="1"/>
  <c r="G55" i="12" s="1"/>
  <c r="D52" i="3"/>
  <c r="L52" i="12" s="1"/>
  <c r="M52" i="2"/>
  <c r="E52" i="3" s="1"/>
  <c r="M52" i="12" s="1"/>
  <c r="M51" i="5"/>
  <c r="L61" i="5"/>
  <c r="J50" i="7"/>
  <c r="I50" i="7"/>
  <c r="K50" i="7" s="1"/>
  <c r="J51" i="7"/>
  <c r="K51" i="6"/>
  <c r="C52" i="8"/>
  <c r="N56" i="1"/>
  <c r="B56" i="12" s="1"/>
  <c r="R54" i="3"/>
  <c r="N54" i="12" s="1"/>
  <c r="K49" i="12"/>
  <c r="F58" i="8"/>
  <c r="R48" i="3"/>
  <c r="N48" i="12" s="1"/>
  <c r="K52" i="10"/>
  <c r="O52" i="10" s="1"/>
  <c r="E52" i="14" s="1"/>
  <c r="J57" i="6"/>
  <c r="G49" i="12"/>
  <c r="AH59" i="1"/>
  <c r="G59" i="12" s="1"/>
  <c r="AH57" i="1"/>
  <c r="N48" i="1"/>
  <c r="B48" i="12" s="1"/>
  <c r="B57" i="1"/>
  <c r="H59" i="3"/>
  <c r="I49" i="3"/>
  <c r="H57" i="3"/>
  <c r="D58" i="12"/>
  <c r="Q54" i="1"/>
  <c r="Q55" i="1"/>
  <c r="Q53" i="1"/>
  <c r="Q56" i="1"/>
  <c r="Q49" i="1"/>
  <c r="Q48" i="1"/>
  <c r="Q52" i="1"/>
  <c r="Q51" i="1"/>
  <c r="Q50" i="1"/>
  <c r="D59" i="5"/>
  <c r="H59" i="1"/>
  <c r="I49" i="1"/>
  <c r="K52" i="6"/>
  <c r="E52" i="7" s="1"/>
  <c r="L59" i="5"/>
  <c r="B59" i="6"/>
  <c r="C49" i="6"/>
  <c r="I53" i="8"/>
  <c r="I60" i="8" s="1"/>
  <c r="H58" i="8"/>
  <c r="C51" i="8"/>
  <c r="J59" i="10"/>
  <c r="P55" i="2"/>
  <c r="E55" i="3" s="1"/>
  <c r="M55" i="12" s="1"/>
  <c r="D55" i="3"/>
  <c r="L55" i="12" s="1"/>
  <c r="N53" i="1"/>
  <c r="B53" i="12" s="1"/>
  <c r="C53" i="1"/>
  <c r="O53" i="1" s="1"/>
  <c r="C53" i="12" s="1"/>
  <c r="E54" i="10"/>
  <c r="C53" i="8"/>
  <c r="M53" i="8"/>
  <c r="E49" i="10"/>
  <c r="D59" i="10"/>
  <c r="H49" i="10"/>
  <c r="E56" i="3"/>
  <c r="M56" i="12" s="1"/>
  <c r="S57" i="2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D49" i="8"/>
  <c r="K49" i="6"/>
  <c r="J59" i="6"/>
  <c r="J56" i="7"/>
  <c r="C54" i="8"/>
  <c r="M54" i="8"/>
  <c r="C55" i="1"/>
  <c r="O55" i="1" s="1"/>
  <c r="C55" i="12" s="1"/>
  <c r="N55" i="1"/>
  <c r="B55" i="12" s="1"/>
  <c r="E55" i="10"/>
  <c r="D56" i="3"/>
  <c r="L56" i="12" s="1"/>
  <c r="R52" i="3"/>
  <c r="N52" i="12" s="1"/>
  <c r="J53" i="7"/>
  <c r="I53" i="7"/>
  <c r="K53" i="7" s="1"/>
  <c r="K55" i="6"/>
  <c r="K54" i="7"/>
  <c r="C55" i="8"/>
  <c r="N52" i="1"/>
  <c r="B52" i="12" s="1"/>
  <c r="C52" i="1"/>
  <c r="O52" i="1" s="1"/>
  <c r="C52" i="12" s="1"/>
  <c r="T59" i="2"/>
  <c r="AG57" i="1"/>
  <c r="N58" i="10"/>
  <c r="D58" i="14" s="1"/>
  <c r="H58" i="14" s="1"/>
  <c r="K58" i="14" s="1"/>
  <c r="I54" i="1"/>
  <c r="O54" i="1" s="1"/>
  <c r="C54" i="12" s="1"/>
  <c r="N54" i="1"/>
  <c r="B54" i="12" s="1"/>
  <c r="I53" i="2"/>
  <c r="J53" i="12" s="1"/>
  <c r="E49" i="6"/>
  <c r="D59" i="6"/>
  <c r="E54" i="3"/>
  <c r="M54" i="12" s="1"/>
  <c r="I54" i="2"/>
  <c r="J54" i="12" s="1"/>
  <c r="C54" i="2"/>
  <c r="B59" i="2"/>
  <c r="H47" i="14"/>
  <c r="K47" i="14" s="1"/>
  <c r="F59" i="10"/>
  <c r="G49" i="10"/>
  <c r="C56" i="8"/>
  <c r="M56" i="8"/>
  <c r="D54" i="3"/>
  <c r="L54" i="12" s="1"/>
  <c r="I55" i="2"/>
  <c r="J55" i="12" s="1"/>
  <c r="B53" i="5"/>
  <c r="B50" i="5"/>
  <c r="B55" i="5"/>
  <c r="B56" i="5"/>
  <c r="B57" i="5"/>
  <c r="B51" i="5"/>
  <c r="B54" i="5"/>
  <c r="B58" i="5"/>
  <c r="B52" i="5"/>
  <c r="C57" i="8"/>
  <c r="H58" i="12"/>
  <c r="AJ53" i="1"/>
  <c r="AJ56" i="1"/>
  <c r="AJ54" i="1"/>
  <c r="AJ50" i="1"/>
  <c r="AJ49" i="1"/>
  <c r="AJ52" i="1"/>
  <c r="AJ55" i="1"/>
  <c r="AJ51" i="1"/>
  <c r="AJ48" i="1"/>
  <c r="H57" i="7"/>
  <c r="E51" i="10"/>
  <c r="N53" i="6"/>
  <c r="N56" i="6"/>
  <c r="N50" i="6"/>
  <c r="N55" i="6"/>
  <c r="O55" i="6" s="1"/>
  <c r="N49" i="6"/>
  <c r="N52" i="6"/>
  <c r="O52" i="6" s="1"/>
  <c r="N51" i="6"/>
  <c r="O51" i="6" s="1"/>
  <c r="N48" i="6"/>
  <c r="N57" i="6" s="1"/>
  <c r="N54" i="6"/>
  <c r="J59" i="5"/>
  <c r="G51" i="2"/>
  <c r="E59" i="2"/>
  <c r="I51" i="2"/>
  <c r="F51" i="1"/>
  <c r="E59" i="1"/>
  <c r="N51" i="1"/>
  <c r="B51" i="12" s="1"/>
  <c r="D48" i="3"/>
  <c r="H57" i="1"/>
  <c r="J55" i="7"/>
  <c r="G55" i="7"/>
  <c r="K55" i="7" s="1"/>
  <c r="K57" i="8"/>
  <c r="L57" i="8" s="1"/>
  <c r="K56" i="8"/>
  <c r="L56" i="8" s="1"/>
  <c r="K55" i="8"/>
  <c r="L55" i="8" s="1"/>
  <c r="K54" i="8"/>
  <c r="L54" i="8" s="1"/>
  <c r="K53" i="8"/>
  <c r="L53" i="8" s="1"/>
  <c r="K52" i="8"/>
  <c r="L52" i="8" s="1"/>
  <c r="K51" i="8"/>
  <c r="L51" i="8" s="1"/>
  <c r="K50" i="8"/>
  <c r="K49" i="8"/>
  <c r="F59" i="7"/>
  <c r="J49" i="7"/>
  <c r="G49" i="7"/>
  <c r="M51" i="3"/>
  <c r="L59" i="3"/>
  <c r="M51" i="2"/>
  <c r="E51" i="3" s="1"/>
  <c r="M51" i="12" s="1"/>
  <c r="D51" i="3"/>
  <c r="L51" i="12" s="1"/>
  <c r="K49" i="3"/>
  <c r="J59" i="3"/>
  <c r="L51" i="10"/>
  <c r="M51" i="10" s="1"/>
  <c r="L56" i="10"/>
  <c r="L50" i="10"/>
  <c r="M50" i="10" s="1"/>
  <c r="L49" i="10"/>
  <c r="L48" i="10"/>
  <c r="N48" i="10" s="1"/>
  <c r="D48" i="14" s="1"/>
  <c r="L54" i="10"/>
  <c r="L55" i="10"/>
  <c r="L52" i="10"/>
  <c r="M52" i="10" s="1"/>
  <c r="L53" i="10"/>
  <c r="M53" i="10" s="1"/>
  <c r="K53" i="10"/>
  <c r="D50" i="3"/>
  <c r="L50" i="12" s="1"/>
  <c r="M50" i="2"/>
  <c r="E50" i="3" s="1"/>
  <c r="M50" i="12" s="1"/>
  <c r="L59" i="2"/>
  <c r="P59" i="3"/>
  <c r="B56" i="10"/>
  <c r="C56" i="10" s="1"/>
  <c r="B50" i="10"/>
  <c r="C50" i="10" s="1"/>
  <c r="B55" i="10"/>
  <c r="C55" i="10" s="1"/>
  <c r="B49" i="10"/>
  <c r="B52" i="10"/>
  <c r="C52" i="10" s="1"/>
  <c r="B48" i="10"/>
  <c r="H48" i="10" s="1"/>
  <c r="B48" i="14" s="1"/>
  <c r="B53" i="10"/>
  <c r="C53" i="10" s="1"/>
  <c r="B54" i="10"/>
  <c r="C54" i="10" s="1"/>
  <c r="B51" i="10"/>
  <c r="C51" i="10" s="1"/>
  <c r="B8" i="14"/>
  <c r="F57" i="10"/>
  <c r="F57" i="7"/>
  <c r="E50" i="10"/>
  <c r="R55" i="3"/>
  <c r="N55" i="12" s="1"/>
  <c r="G55" i="3"/>
  <c r="D55" i="7" l="1"/>
  <c r="E55" i="7"/>
  <c r="I55" i="10"/>
  <c r="C55" i="14" s="1"/>
  <c r="N53" i="10"/>
  <c r="D53" i="14" s="1"/>
  <c r="H50" i="10"/>
  <c r="B50" i="14" s="1"/>
  <c r="O53" i="10"/>
  <c r="E53" i="14" s="1"/>
  <c r="N50" i="10"/>
  <c r="D50" i="14" s="1"/>
  <c r="I56" i="10"/>
  <c r="C56" i="14" s="1"/>
  <c r="F56" i="6"/>
  <c r="C58" i="5"/>
  <c r="G56" i="6" s="1"/>
  <c r="N59" i="6"/>
  <c r="O49" i="6"/>
  <c r="H50" i="12"/>
  <c r="AK50" i="1"/>
  <c r="I50" i="12" s="1"/>
  <c r="L50" i="8"/>
  <c r="K60" i="8"/>
  <c r="C54" i="5"/>
  <c r="G52" i="6" s="1"/>
  <c r="F52" i="6"/>
  <c r="F54" i="6"/>
  <c r="C56" i="5"/>
  <c r="G54" i="6" s="1"/>
  <c r="N54" i="8"/>
  <c r="I53" i="14"/>
  <c r="D56" i="12"/>
  <c r="R56" i="1"/>
  <c r="E56" i="12" s="1"/>
  <c r="G57" i="12"/>
  <c r="N52" i="8"/>
  <c r="I52" i="10"/>
  <c r="C52" i="14" s="1"/>
  <c r="I58" i="8"/>
  <c r="I59" i="6"/>
  <c r="I57" i="6"/>
  <c r="G60" i="8"/>
  <c r="G58" i="8"/>
  <c r="I50" i="10"/>
  <c r="C50" i="14" s="1"/>
  <c r="B59" i="10"/>
  <c r="C49" i="10"/>
  <c r="F57" i="1"/>
  <c r="F59" i="1"/>
  <c r="O51" i="1"/>
  <c r="C51" i="12" s="1"/>
  <c r="O50" i="6"/>
  <c r="E50" i="7" s="1"/>
  <c r="D50" i="7"/>
  <c r="H54" i="12"/>
  <c r="AK54" i="1"/>
  <c r="I54" i="12" s="1"/>
  <c r="F53" i="6"/>
  <c r="C55" i="5"/>
  <c r="G53" i="6" s="1"/>
  <c r="H53" i="14"/>
  <c r="K53" i="14" s="1"/>
  <c r="D52" i="7"/>
  <c r="D53" i="12"/>
  <c r="R53" i="1"/>
  <c r="E53" i="12" s="1"/>
  <c r="E51" i="7"/>
  <c r="H52" i="10"/>
  <c r="B52" i="14" s="1"/>
  <c r="E59" i="6"/>
  <c r="E57" i="6"/>
  <c r="S55" i="3"/>
  <c r="O55" i="12" s="1"/>
  <c r="G59" i="3"/>
  <c r="G57" i="3"/>
  <c r="M52" i="8"/>
  <c r="M55" i="10"/>
  <c r="O55" i="10" s="1"/>
  <c r="E55" i="14" s="1"/>
  <c r="N55" i="10"/>
  <c r="D55" i="14" s="1"/>
  <c r="O56" i="6"/>
  <c r="E56" i="7" s="1"/>
  <c r="D56" i="7"/>
  <c r="D51" i="7"/>
  <c r="M50" i="8"/>
  <c r="M58" i="8" s="1"/>
  <c r="J54" i="2"/>
  <c r="K54" i="12" s="1"/>
  <c r="C57" i="2"/>
  <c r="C59" i="2"/>
  <c r="D54" i="12"/>
  <c r="R54" i="1"/>
  <c r="E54" i="12" s="1"/>
  <c r="B49" i="12"/>
  <c r="N59" i="1"/>
  <c r="B59" i="12" s="1"/>
  <c r="C58" i="8"/>
  <c r="C60" i="8"/>
  <c r="O51" i="10"/>
  <c r="E51" i="14" s="1"/>
  <c r="H51" i="12"/>
  <c r="AK51" i="1"/>
  <c r="I51" i="12" s="1"/>
  <c r="D51" i="12"/>
  <c r="R51" i="1"/>
  <c r="E51" i="12" s="1"/>
  <c r="B57" i="10"/>
  <c r="G59" i="10"/>
  <c r="G57" i="10"/>
  <c r="E59" i="5"/>
  <c r="E61" i="5"/>
  <c r="H56" i="12"/>
  <c r="AK56" i="1"/>
  <c r="I56" i="12" s="1"/>
  <c r="D48" i="7"/>
  <c r="L57" i="10"/>
  <c r="K49" i="7"/>
  <c r="G59" i="7"/>
  <c r="G57" i="7"/>
  <c r="G59" i="2"/>
  <c r="G57" i="2"/>
  <c r="J51" i="2"/>
  <c r="H51" i="10"/>
  <c r="B51" i="14" s="1"/>
  <c r="D59" i="3"/>
  <c r="L59" i="12" s="1"/>
  <c r="K57" i="6"/>
  <c r="K59" i="6"/>
  <c r="I57" i="1"/>
  <c r="I59" i="1"/>
  <c r="N52" i="10"/>
  <c r="D52" i="14" s="1"/>
  <c r="K61" i="5"/>
  <c r="K59" i="5"/>
  <c r="P57" i="2"/>
  <c r="I54" i="10"/>
  <c r="C54" i="14" s="1"/>
  <c r="K59" i="3"/>
  <c r="K57" i="3"/>
  <c r="F55" i="6"/>
  <c r="C57" i="5"/>
  <c r="G55" i="6" s="1"/>
  <c r="J51" i="12"/>
  <c r="J57" i="12" s="1"/>
  <c r="I57" i="2"/>
  <c r="I59" i="2"/>
  <c r="J59" i="12" s="1"/>
  <c r="B59" i="5"/>
  <c r="F48" i="6"/>
  <c r="F57" i="6" s="1"/>
  <c r="D55" i="12"/>
  <c r="R55" i="1"/>
  <c r="E55" i="12" s="1"/>
  <c r="N51" i="10"/>
  <c r="D51" i="14" s="1"/>
  <c r="M54" i="10"/>
  <c r="O54" i="10" s="1"/>
  <c r="E54" i="14" s="1"/>
  <c r="N54" i="10"/>
  <c r="D54" i="14" s="1"/>
  <c r="M59" i="3"/>
  <c r="M57" i="3"/>
  <c r="O53" i="6"/>
  <c r="E53" i="7" s="1"/>
  <c r="D53" i="7"/>
  <c r="F51" i="6"/>
  <c r="C53" i="5"/>
  <c r="G51" i="6" s="1"/>
  <c r="J59" i="7"/>
  <c r="J57" i="7"/>
  <c r="R57" i="3"/>
  <c r="M55" i="8"/>
  <c r="N57" i="12"/>
  <c r="C57" i="1"/>
  <c r="C59" i="1"/>
  <c r="O49" i="1"/>
  <c r="H8" i="14"/>
  <c r="P59" i="2"/>
  <c r="N57" i="8"/>
  <c r="N55" i="8"/>
  <c r="D58" i="8"/>
  <c r="N51" i="8"/>
  <c r="I59" i="3"/>
  <c r="I57" i="3"/>
  <c r="S49" i="3"/>
  <c r="B59" i="7"/>
  <c r="C49" i="7"/>
  <c r="E49" i="7" s="1"/>
  <c r="I57" i="7"/>
  <c r="I59" i="7"/>
  <c r="H55" i="12"/>
  <c r="AK55" i="1"/>
  <c r="I55" i="12" s="1"/>
  <c r="H49" i="12"/>
  <c r="AK49" i="1"/>
  <c r="AJ59" i="1"/>
  <c r="H59" i="12" s="1"/>
  <c r="D49" i="12"/>
  <c r="Q59" i="1"/>
  <c r="D59" i="12" s="1"/>
  <c r="R49" i="1"/>
  <c r="H53" i="12"/>
  <c r="AK53" i="1"/>
  <c r="I53" i="12" s="1"/>
  <c r="D49" i="7"/>
  <c r="L59" i="10"/>
  <c r="M49" i="10"/>
  <c r="N49" i="10"/>
  <c r="I51" i="10"/>
  <c r="C51" i="14" s="1"/>
  <c r="M57" i="8"/>
  <c r="N57" i="1"/>
  <c r="B49" i="14"/>
  <c r="M51" i="8"/>
  <c r="V59" i="2"/>
  <c r="V57" i="2"/>
  <c r="M56" i="10"/>
  <c r="O56" i="10" s="1"/>
  <c r="E56" i="14" s="1"/>
  <c r="N56" i="10"/>
  <c r="D56" i="14" s="1"/>
  <c r="H56" i="14" s="1"/>
  <c r="K56" i="14" s="1"/>
  <c r="K58" i="8"/>
  <c r="O54" i="6"/>
  <c r="E54" i="7" s="1"/>
  <c r="D54" i="7"/>
  <c r="H48" i="12"/>
  <c r="AJ57" i="1"/>
  <c r="C52" i="5"/>
  <c r="G50" i="6" s="1"/>
  <c r="F50" i="6"/>
  <c r="H55" i="10"/>
  <c r="B55" i="14" s="1"/>
  <c r="E50" i="8"/>
  <c r="D60" i="8"/>
  <c r="E57" i="10"/>
  <c r="I49" i="10"/>
  <c r="E59" i="10"/>
  <c r="D50" i="12"/>
  <c r="H50" i="14" s="1"/>
  <c r="K50" i="14" s="1"/>
  <c r="R50" i="1"/>
  <c r="E50" i="12" s="1"/>
  <c r="M59" i="5"/>
  <c r="M61" i="5"/>
  <c r="G59" i="5"/>
  <c r="G61" i="5"/>
  <c r="R59" i="3"/>
  <c r="N59" i="12" s="1"/>
  <c r="M49" i="12"/>
  <c r="M57" i="12" s="1"/>
  <c r="E57" i="3"/>
  <c r="E59" i="3"/>
  <c r="M59" i="12" s="1"/>
  <c r="N53" i="8"/>
  <c r="M59" i="2"/>
  <c r="C59" i="6"/>
  <c r="C57" i="6"/>
  <c r="D52" i="12"/>
  <c r="H52" i="14" s="1"/>
  <c r="K52" i="14" s="1"/>
  <c r="R52" i="1"/>
  <c r="E52" i="12" s="1"/>
  <c r="L48" i="12"/>
  <c r="L57" i="12" s="1"/>
  <c r="D57" i="3"/>
  <c r="H52" i="12"/>
  <c r="AK52" i="1"/>
  <c r="I52" i="12" s="1"/>
  <c r="I52" i="14" s="1"/>
  <c r="B61" i="5"/>
  <c r="F49" i="6"/>
  <c r="C51" i="5"/>
  <c r="N56" i="8"/>
  <c r="H54" i="10"/>
  <c r="B54" i="14" s="1"/>
  <c r="D48" i="12"/>
  <c r="Q57" i="1"/>
  <c r="H53" i="10"/>
  <c r="B53" i="14" s="1"/>
  <c r="B57" i="7"/>
  <c r="M57" i="2"/>
  <c r="O50" i="10"/>
  <c r="E50" i="14" s="1"/>
  <c r="K57" i="10"/>
  <c r="K59" i="10"/>
  <c r="S51" i="3"/>
  <c r="O51" i="12" s="1"/>
  <c r="D59" i="7" l="1"/>
  <c r="H57" i="10"/>
  <c r="H51" i="14"/>
  <c r="K51" i="14" s="1"/>
  <c r="I55" i="14"/>
  <c r="I56" i="14"/>
  <c r="I54" i="14"/>
  <c r="B57" i="14"/>
  <c r="H54" i="14"/>
  <c r="K54" i="14" s="1"/>
  <c r="H55" i="14"/>
  <c r="K55" i="14" s="1"/>
  <c r="E57" i="7"/>
  <c r="E59" i="7"/>
  <c r="E58" i="8"/>
  <c r="E60" i="8"/>
  <c r="D57" i="12"/>
  <c r="K8" i="14"/>
  <c r="E49" i="12"/>
  <c r="E57" i="12" s="1"/>
  <c r="R59" i="1"/>
  <c r="E59" i="12" s="1"/>
  <c r="R57" i="1"/>
  <c r="O49" i="12"/>
  <c r="O57" i="12" s="1"/>
  <c r="S59" i="3"/>
  <c r="O59" i="12" s="1"/>
  <c r="S57" i="3"/>
  <c r="N50" i="8"/>
  <c r="L58" i="8"/>
  <c r="L60" i="8"/>
  <c r="K59" i="7"/>
  <c r="K57" i="7"/>
  <c r="I50" i="14"/>
  <c r="F59" i="6"/>
  <c r="B57" i="12"/>
  <c r="D49" i="14"/>
  <c r="D57" i="14" s="1"/>
  <c r="N59" i="10"/>
  <c r="D59" i="14" s="1"/>
  <c r="I49" i="12"/>
  <c r="I57" i="12" s="1"/>
  <c r="AK59" i="1"/>
  <c r="I59" i="12" s="1"/>
  <c r="AK57" i="1"/>
  <c r="C49" i="14"/>
  <c r="C57" i="14" s="1"/>
  <c r="I57" i="10"/>
  <c r="I59" i="10"/>
  <c r="C59" i="14" s="1"/>
  <c r="N57" i="10"/>
  <c r="C57" i="7"/>
  <c r="C59" i="7"/>
  <c r="C49" i="12"/>
  <c r="O59" i="1"/>
  <c r="C59" i="12" s="1"/>
  <c r="O57" i="1"/>
  <c r="H59" i="10"/>
  <c r="B59" i="14" s="1"/>
  <c r="H59" i="14" s="1"/>
  <c r="K59" i="14" s="1"/>
  <c r="M60" i="8"/>
  <c r="D57" i="7"/>
  <c r="H57" i="12"/>
  <c r="C59" i="5"/>
  <c r="G49" i="6"/>
  <c r="C61" i="5"/>
  <c r="H48" i="14"/>
  <c r="K48" i="14" s="1"/>
  <c r="M59" i="10"/>
  <c r="M57" i="10"/>
  <c r="O49" i="10"/>
  <c r="C59" i="10"/>
  <c r="C57" i="10"/>
  <c r="O59" i="6"/>
  <c r="O57" i="6"/>
  <c r="K51" i="12"/>
  <c r="K57" i="12" s="1"/>
  <c r="J57" i="2"/>
  <c r="J59" i="2"/>
  <c r="K59" i="12" s="1"/>
  <c r="H49" i="14" l="1"/>
  <c r="K49" i="14" s="1"/>
  <c r="K57" i="14"/>
  <c r="N60" i="8"/>
  <c r="N58" i="8"/>
  <c r="E49" i="14"/>
  <c r="E57" i="14" s="1"/>
  <c r="O59" i="10"/>
  <c r="E59" i="14" s="1"/>
  <c r="O57" i="10"/>
  <c r="I59" i="14"/>
  <c r="C57" i="12"/>
  <c r="I51" i="14"/>
  <c r="G59" i="6"/>
  <c r="G57" i="6"/>
  <c r="H57" i="14"/>
  <c r="I49" i="14" l="1"/>
  <c r="I5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Asad, Muhammad</author>
    <author>MAltman</author>
  </authors>
  <commentList>
    <comment ref="B58" authorId="0" shapeId="0" xr:uid="{D1FBD9F7-0471-40EB-9496-2FFED2287AAA}">
      <text>
        <r>
          <rPr>
            <b/>
            <sz val="9"/>
            <color indexed="81"/>
            <rFont val="Tahoma"/>
            <family val="2"/>
          </rPr>
          <t>Asad, Muhammad:</t>
        </r>
        <r>
          <rPr>
            <sz val="9"/>
            <color indexed="81"/>
            <rFont val="Tahoma"/>
            <family val="2"/>
          </rPr>
          <t xml:space="preserve">
formula is adjusted to exclude 72 a/f for the period 1995 - 2005 included in 2017 B-2</t>
        </r>
      </text>
    </comment>
    <comment ref="E58" authorId="1" shapeId="0" xr:uid="{F99DCEEB-9A37-43E3-9E48-62802EB2253D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  <comment ref="K58" authorId="1" shapeId="0" xr:uid="{36288BA3-432B-4097-9179-DF274F037CD0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sahmad</author>
    <author>MAltman</author>
  </authors>
  <commentList>
    <comment ref="L35" authorId="0" shapeId="0" xr:uid="{D9A30B0D-183E-49A6-8A04-79CB3F7FAD86}">
      <text>
        <r>
          <rPr>
            <b/>
            <sz val="12"/>
            <color indexed="81"/>
            <rFont val="Tahoma"/>
            <family val="2"/>
          </rPr>
          <t>sahmad:</t>
        </r>
        <r>
          <rPr>
            <sz val="12"/>
            <color indexed="81"/>
            <rFont val="Tahoma"/>
            <family val="2"/>
          </rPr>
          <t xml:space="preserve">
Resch water  from Sch M&amp;I B-2</t>
        </r>
      </text>
    </comment>
    <comment ref="B58" authorId="1" shapeId="0" xr:uid="{E3FEEAED-EBAD-449D-BAD4-2A7F033E8603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  <comment ref="E58" authorId="1" shapeId="0" xr:uid="{C2417FB4-E645-46D2-94F2-8186D3756ABF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Altman, Masako N</author>
    <author>MAltman</author>
  </authors>
  <commentList>
    <comment ref="F58" authorId="0" shapeId="0" xr:uid="{C77D8C5D-8A5C-4413-A785-E56979802252}">
      <text>
        <r>
          <rPr>
            <b/>
            <sz val="9"/>
            <color indexed="81"/>
            <rFont val="Tahoma"/>
            <family val="2"/>
          </rPr>
          <t>Altman, Masako 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5-yr average of 2017 - 2021</t>
        </r>
      </text>
    </comment>
    <comment ref="L58" authorId="1" shapeId="0" xr:uid="{931FD849-90FB-4C9B-B330-97A27BBA17D2}">
      <text>
        <r>
          <rPr>
            <b/>
            <sz val="11"/>
            <color indexed="81"/>
            <rFont val="Tahoma"/>
            <family val="2"/>
          </rPr>
          <t>SMAY:</t>
        </r>
        <r>
          <rPr>
            <sz val="11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MAltman</author>
  </authors>
  <commentList>
    <comment ref="D58" authorId="0" shapeId="0" xr:uid="{92EBCBBA-E425-4F07-9E2A-5B88EDFDA6C7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  <comment ref="F58" authorId="0" shapeId="0" xr:uid="{D5A3D314-9925-47F4-9DBD-A47FB320652A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maltman</author>
    <author>MAltman</author>
  </authors>
  <commentList>
    <comment ref="F7" authorId="0" shapeId="0" xr:uid="{30E7AF5E-D777-4FBC-8E56-68FB145B99F9}">
      <text>
        <r>
          <rPr>
            <b/>
            <sz val="12"/>
            <color indexed="81"/>
            <rFont val="Tahoma"/>
            <family val="2"/>
          </rPr>
          <t>maltman:</t>
        </r>
        <r>
          <rPr>
            <sz val="12"/>
            <color indexed="81"/>
            <rFont val="Tahoma"/>
            <family val="2"/>
          </rPr>
          <t xml:space="preserve">
Increased contract maximum to reflect an increase in M&amp;I usage</t>
        </r>
      </text>
    </comment>
    <comment ref="L7" authorId="0" shapeId="0" xr:uid="{F8BF41E3-05BD-4039-A349-9C912686BD9A}">
      <text>
        <r>
          <rPr>
            <b/>
            <sz val="8"/>
            <color indexed="81"/>
            <rFont val="Tahoma"/>
            <family val="2"/>
          </rPr>
          <t>maltman: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Increased by 1,000 a/f as a result of partial assignment from Shasta County WA</t>
        </r>
      </text>
    </comment>
    <comment ref="B59" authorId="1" shapeId="0" xr:uid="{7F5C91B8-12B0-4F57-9BA5-5D59986858C1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ibr2brc9080i04</author>
    <author>Dorothy Wheeler</author>
    <author>mpearson</author>
    <author>MAltman</author>
  </authors>
  <commentList>
    <comment ref="J26" authorId="0" shapeId="0" xr:uid="{77859A55-A341-454C-9A4C-E387CDFAA63E}">
      <text>
        <r>
          <rPr>
            <b/>
            <sz val="8"/>
            <color indexed="81"/>
            <rFont val="Tahoma"/>
            <family val="2"/>
          </rPr>
          <t>i</t>
        </r>
        <r>
          <rPr>
            <b/>
            <sz val="12"/>
            <color indexed="81"/>
            <rFont val="Tahoma"/>
            <family val="2"/>
          </rPr>
          <t>br2brc9080i04:</t>
        </r>
        <r>
          <rPr>
            <sz val="12"/>
            <color indexed="81"/>
            <rFont val="Tahoma"/>
            <family val="2"/>
          </rPr>
          <t xml:space="preserve">
See Irr 2000 Mendota Pool Exchange Deliveries.Z04.xls</t>
        </r>
      </text>
    </comment>
    <comment ref="J27" authorId="1" shapeId="0" xr:uid="{5367EA6B-3227-492B-99E3-84EA3BB32B80}">
      <text>
        <r>
          <rPr>
            <sz val="12"/>
            <color indexed="81"/>
            <rFont val="Tahoma"/>
            <family val="2"/>
          </rPr>
          <t>Ref: IRR 2001 Mendota Pool Exchange Deliveries.Z05.XLS</t>
        </r>
      </text>
    </comment>
    <comment ref="J28" authorId="1" shapeId="0" xr:uid="{DBBC7AD9-D726-40DE-950D-BF591A51C588}">
      <text>
        <r>
          <rPr>
            <sz val="12"/>
            <color indexed="81"/>
            <rFont val="Tahoma"/>
            <family val="2"/>
          </rPr>
          <t>Ref: IRR 2002 Mendota Pool Exchange Deliveries.Z06.XLS</t>
        </r>
      </text>
    </comment>
    <comment ref="J29" authorId="1" shapeId="0" xr:uid="{578BA568-BC0A-4EE3-8386-5FDB352862A6}">
      <text>
        <r>
          <rPr>
            <sz val="12"/>
            <color indexed="81"/>
            <rFont val="Tahoma"/>
            <family val="2"/>
          </rPr>
          <t>Ref: IRR 2003 Mendota Pool Exchange Deliveries.Z07.XLS</t>
        </r>
      </text>
    </comment>
    <comment ref="J30" authorId="1" shapeId="0" xr:uid="{326F5A90-1133-49B1-B375-C179C5F0EE02}">
      <text>
        <r>
          <rPr>
            <sz val="12"/>
            <color indexed="81"/>
            <rFont val="Tahoma"/>
            <family val="2"/>
          </rPr>
          <t>Ref: FY 2004 Mendota Pool Exchange Deliveries.Z08.XLS</t>
        </r>
      </text>
    </comment>
    <comment ref="J31" authorId="1" shapeId="0" xr:uid="{E43EEBCB-376B-4974-B948-02C7E041EF08}">
      <text>
        <r>
          <rPr>
            <sz val="12"/>
            <color indexed="81"/>
            <rFont val="Tahoma"/>
            <family val="2"/>
          </rPr>
          <t xml:space="preserve">Ref: FY  2005 Mendota Pool Exchange Deliveries.Z09.XLS
</t>
        </r>
      </text>
    </comment>
    <comment ref="J32" authorId="1" shapeId="0" xr:uid="{9011B872-EFA6-4AC1-A13C-54D9CF990A30}">
      <text>
        <r>
          <rPr>
            <sz val="12"/>
            <color indexed="81"/>
            <rFont val="Tahoma"/>
            <family val="2"/>
          </rPr>
          <t xml:space="preserve">Ref: FY  2006 Mendota Pool Exchange Deliveries.Z10.XLS
</t>
        </r>
      </text>
    </comment>
    <comment ref="J33" authorId="1" shapeId="0" xr:uid="{766FF6D6-1578-47EB-A2FB-3EDBD573D9F1}">
      <text>
        <r>
          <rPr>
            <sz val="12"/>
            <color indexed="81"/>
            <rFont val="Tahoma"/>
            <family val="2"/>
          </rPr>
          <t xml:space="preserve">Ref: FY  2007 Mendota Pool Exchange Deliveries.Z11.XLS
</t>
        </r>
      </text>
    </comment>
    <comment ref="J34" authorId="0" shapeId="0" xr:uid="{4CE20BCA-1626-4C84-AE29-6D164A3F6A71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FY 2008 Mendota Pool  Exchange Deliveries
</t>
        </r>
      </text>
    </comment>
    <comment ref="J35" authorId="0" shapeId="0" xr:uid="{793B0E1C-85E7-497C-885C-6053CDEA22C0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FY 2009 Mendota Pool  Exchange Deliveries
I:\WTRates\Rates\2011\Ratesetting\2009 Mendota Pool Exchange Deliveries.Z13.xlsx
</t>
        </r>
      </text>
    </comment>
    <comment ref="J36" authorId="0" shapeId="0" xr:uid="{B2327220-7275-442B-817B-4FD0ED80DA26}">
      <text>
        <r>
          <rPr>
            <b/>
            <sz val="11"/>
            <color indexed="81"/>
            <rFont val="Tahoma"/>
            <family val="2"/>
          </rPr>
          <t>sfowler:</t>
        </r>
        <r>
          <rPr>
            <sz val="11"/>
            <color indexed="81"/>
            <rFont val="Tahoma"/>
            <family val="2"/>
          </rPr>
          <t xml:space="preserve">
Ratio is from FY 2010 Mendota Pool  Exchange Deliveries &amp; 645,955 a/f is from Irr Sch A-14 Page 31</t>
        </r>
      </text>
    </comment>
    <comment ref="J37" authorId="0" shapeId="0" xr:uid="{E47AD083-E19D-48B1-8162-F79E1ABAA841}">
      <text>
        <r>
          <rPr>
            <b/>
            <sz val="11"/>
            <color indexed="81"/>
            <rFont val="Tahoma"/>
            <family val="2"/>
          </rPr>
          <t>jseth:</t>
        </r>
        <r>
          <rPr>
            <sz val="11"/>
            <color indexed="81"/>
            <rFont val="Tahoma"/>
            <family val="2"/>
          </rPr>
          <t xml:space="preserve">
Ratio is from FY 2011 Mendota Pool  Exchange Deliveries &amp; 675,534 a/f is from Irr Sch A-14 Page 31</t>
        </r>
      </text>
    </comment>
    <comment ref="J38" authorId="0" shapeId="0" xr:uid="{B227D5D7-AE8E-4D9B-A307-4391B18A271D}">
      <text>
        <r>
          <rPr>
            <b/>
            <sz val="11"/>
            <color indexed="81"/>
            <rFont val="Tahoma"/>
            <family val="2"/>
          </rPr>
          <t>sfowler:</t>
        </r>
        <r>
          <rPr>
            <sz val="11"/>
            <color indexed="81"/>
            <rFont val="Tahoma"/>
            <family val="2"/>
          </rPr>
          <t xml:space="preserve">
Ratio is from FY 2012 Mendota Pool Exchange Deliveries &amp; 690,799 a/f is from Irr Sch A-14 Page 31
</t>
        </r>
      </text>
    </comment>
    <comment ref="J39" authorId="0" shapeId="0" xr:uid="{DE1FFB66-C0CD-4CC4-B622-CDF3EE1C505A}">
      <text>
        <r>
          <rPr>
            <b/>
            <sz val="11"/>
            <color indexed="81"/>
            <rFont val="Tahoma"/>
            <family val="2"/>
          </rPr>
          <t>smay:</t>
        </r>
        <r>
          <rPr>
            <sz val="11"/>
            <color indexed="81"/>
            <rFont val="Tahoma"/>
            <family val="2"/>
          </rPr>
          <t xml:space="preserve">
Ratio is from "FY 2014 Mendota Pool Exchange Deliveries.Z18" &amp; ________ a/f is from Irr Sch A-14 Page 31 (Ref: Revised contract agreement dated 12/6/67 &amp; Memo dated 9/18/97)</t>
        </r>
      </text>
    </comment>
    <comment ref="J40" authorId="0" shapeId="0" xr:uid="{8CD73D10-7DAE-4E61-AA67-5080DD7DA91C}">
      <text>
        <r>
          <rPr>
            <b/>
            <sz val="11"/>
            <color indexed="81"/>
            <rFont val="Tahoma"/>
            <family val="2"/>
          </rPr>
          <t>smay:</t>
        </r>
        <r>
          <rPr>
            <sz val="11"/>
            <color indexed="81"/>
            <rFont val="Tahoma"/>
            <family val="2"/>
          </rPr>
          <t xml:space="preserve">
Ratio is from "FY 2014 Mendota Pool Exchange Deliveries.Z18 (Cell: I58)" &amp; 442,020 AF is from Irr Sch A-14 Page 31 </t>
        </r>
      </text>
    </comment>
    <comment ref="J41" authorId="0" shapeId="0" xr:uid="{8EA56E0B-4B9F-4761-B0B9-0348FFEE83B6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"FY 2015 Mendota Pool Exchange Deliveries.Z19 (Cell: I58)" &amp; 399,731 AF is from Irr Sch A-13 Page 20 </t>
        </r>
      </text>
    </comment>
    <comment ref="J42" authorId="0" shapeId="0" xr:uid="{E52D48FA-D7F0-4D84-936B-1625F8270A26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"FY 2016 Mendota Pool Exchange Deliveries.Z20 (Cell: I58)" &amp; 554,964 AF is from Irr Sch A-13 Page 20 </t>
        </r>
      </text>
    </comment>
    <comment ref="J43" authorId="2" shapeId="0" xr:uid="{1D73EC25-E6E6-485F-B71F-7CFA61D405DA}">
      <text>
        <r>
          <rPr>
            <b/>
            <sz val="9"/>
            <color indexed="81"/>
            <rFont val="Tahoma"/>
            <family val="2"/>
          </rPr>
          <t>mpearson:</t>
        </r>
        <r>
          <rPr>
            <sz val="9"/>
            <color indexed="81"/>
            <rFont val="Tahoma"/>
            <family val="2"/>
          </rPr>
          <t xml:space="preserve">
Ratio and M&amp;I AF Calculation is from "FY 2017 Mendota Pool Exchange Deliveries.Z21 (Cell: I58)" &amp; 657,927 AF was calculated for WY 2017 using a combination of these documents.
https://www.usbr.gov/mp/cvo/vungvari/table_24_2016.pdf
https://www.usbr.gov/mp/cvo/vungvari/table_24_2017.pdf
https://www.usbr.gov/mp/cvo/vungvari/table_24_2018.pdf</t>
        </r>
      </text>
    </comment>
    <comment ref="J44" authorId="0" shapeId="0" xr:uid="{98A3D072-F515-4C00-859B-1D12450ADCC0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"FY 2018 Mendota Pool Exchange Deliveries.Z22 (Cell: I58)" &amp; 60,140 AF is from Irr Sch A-13 Page 20 (cell G49)</t>
        </r>
      </text>
    </comment>
    <comment ref="J45" authorId="0" shapeId="0" xr:uid="{C8D9300A-A3EB-44E5-B4EA-75CD7AED42F6}">
      <text>
        <r>
          <rPr>
            <b/>
            <sz val="11"/>
            <color indexed="81"/>
            <rFont val="Tahoma"/>
            <family val="2"/>
          </rPr>
          <t>masad:</t>
        </r>
        <r>
          <rPr>
            <sz val="11"/>
            <color indexed="81"/>
            <rFont val="Tahoma"/>
            <family val="2"/>
          </rPr>
          <t xml:space="preserve">
Ratio is from "FY 2019 Mendota Pool Exchange Deliveries.Z23 (Cell: I58)" &amp; 622,531 AF is from Irr Sch A-13 Page 20 (cell G50)</t>
        </r>
      </text>
    </comment>
    <comment ref="J46" authorId="0" shapeId="0" xr:uid="{61EB863B-94CB-4A6C-A865-5A3361E4EDDF}">
      <text>
        <r>
          <rPr>
            <b/>
            <sz val="11"/>
            <color indexed="81"/>
            <rFont val="Tahoma"/>
            <family val="2"/>
          </rPr>
          <t>masad:</t>
        </r>
        <r>
          <rPr>
            <sz val="11"/>
            <color indexed="81"/>
            <rFont val="Tahoma"/>
            <family val="2"/>
          </rPr>
          <t xml:space="preserve">
Ratio is from "FY 2020 Mendota Pool Exchange Deliveries.Z23 (Cell: I58)" &amp; 594,604 AF is from Irr Sch A-13 Page 20 (cell G50)</t>
        </r>
      </text>
    </comment>
    <comment ref="J47" authorId="0" shapeId="0" xr:uid="{A7C7ACC0-5416-4EB8-B6EC-AE6A21AB145E}">
      <text>
        <r>
          <rPr>
            <b/>
            <sz val="11"/>
            <color indexed="81"/>
            <rFont val="Tahoma"/>
            <family val="2"/>
          </rPr>
          <t>maltman:</t>
        </r>
        <r>
          <rPr>
            <sz val="11"/>
            <color indexed="81"/>
            <rFont val="Tahoma"/>
            <family val="2"/>
          </rPr>
          <t xml:space="preserve">
Ratio is from "FY 2021 Mendota Pool Exchange Deliveries.Z23 (Cell: I58)" &amp; 481,650 AF is from Irr Sch A-13 Page 20 (cell G51)</t>
        </r>
      </text>
    </comment>
    <comment ref="F58" authorId="3" shapeId="0" xr:uid="{E53FF451-78FB-4233-9A49-6437B6347930}">
      <text>
        <r>
          <rPr>
            <b/>
            <sz val="9"/>
            <color indexed="81"/>
            <rFont val="Tahoma"/>
            <family val="2"/>
          </rPr>
          <t>MAltman:</t>
        </r>
        <r>
          <rPr>
            <sz val="9"/>
            <color indexed="81"/>
            <rFont val="Tahoma"/>
            <family val="2"/>
          </rPr>
          <t xml:space="preserve">
one seventh of contract entitlement</t>
        </r>
      </text>
    </comment>
  </commentList>
</comments>
</file>

<file path=xl/sharedStrings.xml><?xml version="1.0" encoding="utf-8"?>
<sst xmlns="http://schemas.openxmlformats.org/spreadsheetml/2006/main" count="1069" uniqueCount="318">
  <si>
    <t>YEAR</t>
  </si>
  <si>
    <t>SCHEDULE A</t>
  </si>
  <si>
    <t>SCHEDULE B</t>
  </si>
  <si>
    <t>SCHEDULE C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</si>
  <si>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</si>
  <si>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</si>
  <si>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</si>
  <si>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</si>
  <si>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</si>
  <si>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</si>
  <si>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</si>
  <si>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</si>
  <si>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</si>
  <si>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</si>
  <si>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</si>
  <si>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</si>
  <si>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</si>
  <si>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</si>
  <si>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</si>
  <si>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</si>
  <si>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</si>
  <si>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</si>
  <si>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</si>
  <si>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 xml:space="preserve"> </t>
  </si>
  <si>
    <t>2000</t>
  </si>
  <si>
    <t>2001</t>
  </si>
  <si>
    <t>2003</t>
  </si>
  <si>
    <t>2004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</si>
  <si>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</si>
  <si>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</si>
  <si>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</si>
  <si>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</si>
  <si>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</si>
  <si>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</si>
  <si>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</si>
  <si>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</si>
  <si>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</si>
  <si>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</si>
  <si>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</si>
  <si>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</si>
  <si>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</si>
  <si>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</si>
  <si>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</si>
  <si>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</si>
  <si>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</si>
  <si>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</si>
  <si>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</si>
  <si>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</si>
  <si>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</si>
  <si>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</si>
  <si>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</si>
  <si>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H&amp;P/T</t>
  </si>
  <si>
    <t>7-Year Hist Avg (A-12)</t>
  </si>
  <si>
    <t>Projected Del. (A-2ba)</t>
  </si>
  <si>
    <t>CROSS VALLEY CANAL (CVC) - CVC
COUNTY OF
FRESNOAF</t>
  </si>
  <si>
    <t>CROSS VALLEY CANAL (CVC) - CVC 
COUNTY OF
FRESNO 
PW OF AF</t>
  </si>
  <si>
    <t>CROSS VALLEY CANAL (CVC) - CVC
COUNTY OF
 TULARE
AF</t>
  </si>
  <si>
    <t>CROSS VALLEY CANAL (CVC) - CVC
COUNTY OF
TULARE 
PW OF AF</t>
  </si>
  <si>
    <t>CROSS VALLEY CANAL (CVC) - CVC
TOTAL 
AF</t>
  </si>
  <si>
    <t>CROSS VALLEY CANAL (CVC) - CVC
TOTAL 
PW OF AF</t>
  </si>
  <si>
    <t>DELTA-MENDOTA CANAL (DMC) - DMC
BYRON-BETHANY
ID
AF</t>
  </si>
  <si>
    <t>DELTA-MENDOTA CANAL (DMC) - DMC
BYRON-BETHANY
ID
 PW OF AF</t>
  </si>
  <si>
    <t>DELTA-MENDOTA CANAL (DMC) - DMC
CITY OF
TRACY
 AF</t>
  </si>
  <si>
    <t>DELTA-MENDOTA CANAL (DMC) - DMC 
CITY OF
TRACY 
PW OF AF</t>
  </si>
  <si>
    <t>DELTA-MENDOTA CANAL (DMC) - DMC
DEL PUERTO
WD 
AF</t>
  </si>
  <si>
    <t>DELTA-MENDOTA CANAL (DMC) - DMC
DEL PUERTO
WD
PW OF AF</t>
  </si>
  <si>
    <t>DELTA-MENDOTA CANAL (DMC) - DMC 
DEPT. OF
VETERANS AFFAIRS
 AF</t>
  </si>
  <si>
    <t>DELTA-MENDOTA CANAL (DMC) - DMC 
DEPT. OF
VETERANS AFFAIRS
 PW OF AF</t>
  </si>
  <si>
    <t>DELTA-MENDOTA CANAL (DMC) - DMC
PANOCHE
WD
 AF</t>
  </si>
  <si>
    <t>DELTA-MENDOTA CANAL (DMC) - DMC
PANOCHE
WD 
PW OF AF</t>
  </si>
  <si>
    <t>ORESTIMBA</t>
  </si>
  <si>
    <t>SUNFLOWER</t>
  </si>
  <si>
    <t>7 - Year Hist Avg (A-12)</t>
  </si>
  <si>
    <t>FOLSOM  D&amp;R (FD&amp;R) - FD&amp;R 
PLACER COUNTY
WA
AF</t>
  </si>
  <si>
    <t>FOLSOM  D&amp;R (FD&amp;R) - FD&amp;R
PLACER COUNTY
WA 
PW OF AF</t>
  </si>
  <si>
    <t>FOLSOM  D&amp;R (FD&amp;R) - FD&amp;R
SACRAMENTO
COUNTY
WA
AF</t>
  </si>
  <si>
    <t>FOLSOM  D&amp;R (FD&amp;R) - FD&amp;R
SACRAMENTO
COUNTY
WA
PW OF AF</t>
  </si>
  <si>
    <t>FOLSOM  D&amp;R (FD&amp;R) - FD&amp;R
SAN JUAN
WD
AF</t>
  </si>
  <si>
    <t>FOLSOM  D&amp;R (FD&amp;R) - FD&amp;R
SAN JUAN
WD
PW OF AF</t>
  </si>
  <si>
    <t>FOLSOM  D&amp;R (FD&amp;R) - FD&amp;R
TOTAL
AF</t>
  </si>
  <si>
    <t>FOLSOM  D&amp;R (FD&amp;R) - FD&amp;R
TOTAL
PW OF AF</t>
  </si>
  <si>
    <t/>
  </si>
  <si>
    <t>M&amp;I 2023 Sch A-13 F.Z25.XLSM</t>
  </si>
  <si>
    <t>09/13/2022</t>
  </si>
  <si>
    <t>CENTRAL VALLEY PROJECT</t>
  </si>
  <si>
    <t>SCHEDULE OF HISTORICAL (1981-2021) &amp; PROJECTED (2022-2030) M&amp;I WATER DELIVERIES</t>
  </si>
  <si>
    <t xml:space="preserve">AND PRESENT WORTH @ .023755 FOR CALCULATION OF INDIVIDUAL CONTRACTOR PRORATED CONSTRUCTION COSTS AND RATE   </t>
  </si>
  <si>
    <t>FRIANT DAM (FD) - FD 
COUNTY OF MADERA
 AF</t>
  </si>
  <si>
    <t>FRIANT DAM (FD) - FD
COUNTY OF
MADERA 
PW OF AF</t>
  </si>
  <si>
    <t>FRIANT DAM (FD) - FD
FRESNO
CITY WW
 #18
AF</t>
  </si>
  <si>
    <t>FRIANT DAM (FD) - FD
FRESNO
CITY WW 
#18
PW OF AF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</si>
  <si>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</si>
  <si>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FRIANT-KERN CANAL (FKC)</t>
  </si>
  <si>
    <t>FKC 
ARVIN-EDISON
WSD 
 AF</t>
  </si>
  <si>
    <t>FKC
ARVIN-EDISON
WSD
PW OF AF</t>
  </si>
  <si>
    <t>FKC
CITY OF
ORANGE
COVE
AF</t>
  </si>
  <si>
    <t>FKC
CITY OF
ORANGE
COVE 
PW OF AF</t>
  </si>
  <si>
    <t>FKC
DELANO-EARLIMART ID
 AF</t>
  </si>
  <si>
    <t>FKC
DELANO-EARLIMART
ID
 PW OF AF</t>
  </si>
  <si>
    <t>FKC
LINDSAY-STRATHMORE
ID 
AF</t>
  </si>
  <si>
    <t>FKC
LINDSAY-STRATHMORE
ID
PW OF AF</t>
  </si>
  <si>
    <t>2002</t>
  </si>
  <si>
    <t>2005</t>
  </si>
  <si>
    <t>2006</t>
  </si>
  <si>
    <t>2007</t>
  </si>
  <si>
    <t>FRIANT-KERN CANAL CONTINUED (FKC) - FKC
SHAFTER-WASCO
ID 
AF</t>
  </si>
  <si>
    <t>FRIANT-KERN CANAL CONTINUED (FKC)FKC
SHAFTER-WASCO
ID
PW OF AF</t>
  </si>
  <si>
    <t>FRIANT-KERN CANAL CONTINUED (FKC)FKC
TERRA BELLA
ID
 AF</t>
  </si>
  <si>
    <t>FRIANT-KERN CANAL CONTINUED (FKC)FKC
TERRA BELLA
ID
PW OF AF</t>
  </si>
  <si>
    <t>SACRAMENTO RIVER (SR) - SRSR
LAKE
CA P.O.A. 
AF</t>
  </si>
  <si>
    <t>SACRAMENTO RIVER (SR) - SRSR
LAKE
CA
P.O.A.
 PW OF AF</t>
  </si>
  <si>
    <t>SACRAMENTO RIVER CONTINUED (SR) - SR
RIVERVIEW GOLF &amp;
 CC
 AF</t>
  </si>
  <si>
    <t>SACRAMENTO RIVER CONTINUED (SR) - SR 
RIVERVIEW GOLF &amp; 
CC 
PW OF AF</t>
  </si>
  <si>
    <t>SAN FELIPE UNIT IN-BASIN (SFUIB) -  SFUIB
 SAN BENITO
COUNTY WD 
AF</t>
  </si>
  <si>
    <t>SAN FELIPE UNIT IN-BASIN (SFUIB) -  SFUIB 
SAN BENITO
 COUNTY WD
 PW OF AF</t>
  </si>
  <si>
    <t>SAN FELIPE UNIT IN-BASIN (SFUIB) - SFUIB 
SANTA CLARA
VALLEY WD
 AF</t>
  </si>
  <si>
    <t>SAN FELIPE UNIT IN-BASIN (SFUIB) - SFUIB 
SANTA CLARA
VALLEY WD
PW OF AF</t>
  </si>
  <si>
    <t>SAN LUIS CANAL - FRESNO (SLCF)</t>
  </si>
  <si>
    <t>SLCF
CITY OF
AVENAL 
AF</t>
  </si>
  <si>
    <t>SLCF 
CITY OF
AVENAL 
PW OF AF</t>
  </si>
  <si>
    <t>SLCF 
CITY OF
COALINGA 
AF</t>
  </si>
  <si>
    <t>SLCF 
CITY OF
COALINGA
 PW OF AF</t>
  </si>
  <si>
    <t>SLCF
CITY OF
HURON
 AF</t>
  </si>
  <si>
    <t>SLCF
CITY OF
HURON
PW OF AF</t>
  </si>
  <si>
    <t>SLCF
STATE OF
CA
 AF</t>
  </si>
  <si>
    <t>SLCF
STATE OF
CA
PW OF AF</t>
  </si>
  <si>
    <t>SLCF
WESTLANDS
WD
 AF</t>
  </si>
  <si>
    <t>SLCF
WESTLANDS
WD 
PW OF AF</t>
  </si>
  <si>
    <t>SAN LUIS CANAL - TRACY  (SLCT) - SLCT
PACHECO
WD 
AF</t>
  </si>
  <si>
    <t>SAN LUIS CANAL - TRACY  (SLCT) - SLCT 
PACHECO
WD
PW OF AF</t>
  </si>
  <si>
    <t>SAN LUIS CANAL - TRACY  (SLCT) - SLCT 
PANOCHE
WD
 AF</t>
  </si>
  <si>
    <t>SAN LUIS CANAL - TRACY  (SLCT) - SLCT 
PANOCHE
WD 
PW OF AF</t>
  </si>
  <si>
    <t>SAN LUIS CANAL - TRACY  (SLCT) - SLCT 
SAN LUIS
WD
AF</t>
  </si>
  <si>
    <t>SAN LUIS CANAL - TRACY  (SLCT) - SLCT
SAN LUIS
 WD
 PW OF AF</t>
  </si>
  <si>
    <t>SAN LUIS CANAL - TRACY  (SLCT) - SD&amp;R 
CENTERVILLE
CSD 
AF</t>
  </si>
  <si>
    <t>SAN LUIS CANAL - TRACY  (SLCT) - SD&amp;R
CENTERVILLE
CSD
 PW OF AF</t>
  </si>
  <si>
    <t>SHASTA D&amp;R (SD&amp;R) - SD&amp;R 
MOUNTAIN GATE
CSD
AF</t>
  </si>
  <si>
    <t>SHASTA D&amp;R (SD&amp;R) - SD&amp;R
MOUNTAIN GATE
CSD 
PW OF AF</t>
  </si>
  <si>
    <t>SHASTA D&amp;R (SD&amp;R) - SD&amp;R 
SHASTA CWA 
AF</t>
  </si>
  <si>
    <t>SHASTA D&amp;R (SD&amp;R) - SD&amp;R 
SHASTA CWA 
PW OF AF</t>
  </si>
  <si>
    <t>\</t>
  </si>
  <si>
    <t>SPRING CREEK CONDUIT (SCC) - SCC
CITY OF
REDDING
 AF</t>
  </si>
  <si>
    <t>SPRING CREEK CONDUIT (SCC) - SCC 
CITY OF
REDDING 
PW OF AF</t>
  </si>
  <si>
    <t xml:space="preserve">SPRING CREEK CONDUIT (SCC) - SCC
SHASTA CWA
 AF </t>
  </si>
  <si>
    <t xml:space="preserve">SPRING CREEK CONDUIT (SCC) - SCC
SHASTA CWA
PW OF AF </t>
  </si>
  <si>
    <t>SPRING CREEK CONDUIT (SCC) - SCC 
SHASTA CSD
 AF</t>
  </si>
  <si>
    <t>SPRING CREEK CONDUIT (SCC) - SCC
SHASTA CSD 
PW OF AF</t>
  </si>
  <si>
    <t>TEHAMA-COLUSA CANAL (TCC)TCC 
COLUSA
COUNTY
 AF  1/</t>
  </si>
  <si>
    <t>TEHAMA-COLUSA CANAL (TCC)TCC 
COLUSA
COUNTY
 PW OF AF</t>
  </si>
  <si>
    <t>TEHAMA-COLUSA CANAL (TCC)TCC
KANAWHA 
WD 
AF</t>
  </si>
  <si>
    <t>TEHAMA-COLUSA CANAL (TCC)TCC
KANAWHA 
WD
PW OF AF</t>
  </si>
  <si>
    <t>TP
CITY OF
REDDING
AF</t>
  </si>
  <si>
    <t>TP
CITY OF
REDDING
PW OF AF</t>
  </si>
  <si>
    <t>TP 
CITY OF
SHASTA LAKE
 AF</t>
  </si>
  <si>
    <t>TP
 CITY OF
SHASTA LAKE
 PW OF AF</t>
  </si>
  <si>
    <t>TP 
US FOREST
SVC
AF</t>
  </si>
  <si>
    <t>TP 
US FOREST
SVC
PW OF AF</t>
  </si>
  <si>
    <t>BLACK
BUTTE 
D&amp;R
AF
TOTAL</t>
  </si>
  <si>
    <t>BLACK
BUTTE
D&amp;R
PW OF AF
TOTAL</t>
  </si>
  <si>
    <t>CLEAR
CREEK
UNIT
AF
TOTAL</t>
  </si>
  <si>
    <t>CLEAR
CREEK
UNIT
PW OF AF
TOTAL</t>
  </si>
  <si>
    <t>CONTRA
COSTA
CANAL
 AF
 TOTAL</t>
  </si>
  <si>
    <t>CONTRA
COSTA
CANAL
PW OF AF TOTAL</t>
  </si>
  <si>
    <t>COW
CREEK
UNIT
AF 
TOTAL</t>
  </si>
  <si>
    <t>COW
CREEK
UNIT 
PW OF AF
TOTAL</t>
  </si>
  <si>
    <t>CROSS
VALLEY
CANAL 
AF 
TOTAL</t>
  </si>
  <si>
    <t>CROSS
VALLEY
CANAL
PW OF AF
TOTAL</t>
  </si>
  <si>
    <t>DETAL
MENDOTA
CANAL
AF
TOTAL</t>
  </si>
  <si>
    <t>DETAL
MENDOTA
CANAL
PW OF AF 
TOTAL</t>
  </si>
  <si>
    <t>FOLSOM
SOUTH
CANAL
AF
 TOTAL</t>
  </si>
  <si>
    <t>FOLSOM
SOUTH
CANAL
PW OF AF
TOTAL</t>
  </si>
  <si>
    <t>SAN
LUIS
CANAL
FRESNO
 AF
TOTAL</t>
  </si>
  <si>
    <t>SAN
LUIS
CANAL
FRESNO
PW OF AF 
TOTAL</t>
  </si>
  <si>
    <t>SAN
LUIS
CANAL
TRACY
AF
TOTAL</t>
  </si>
  <si>
    <t>SAN
LUIS 
CANAL
TRACY
PW OF AF
TOTAL</t>
  </si>
  <si>
    <t>SHASTA
D&amp;R
AF
TOTAL</t>
  </si>
  <si>
    <t>SHASTA
D&amp;R
PW OF AF
TOTAL</t>
  </si>
  <si>
    <t xml:space="preserve">  </t>
  </si>
  <si>
    <t>SPRING
CREEK
CONDUIT
AF 
TOTAL</t>
  </si>
  <si>
    <t>SPRING
CREEK
CONDUIT
 PW OF AF
 TOTAL</t>
  </si>
  <si>
    <t>TEHAMA-COLUSA 
CANAL
 AF
 TOTAL</t>
  </si>
  <si>
    <t>TEHAMA-COLUSA 
CANAL
 PW OF AF 
TOTAL</t>
  </si>
  <si>
    <t>TOTAL 
W/O
EXCHANGE
PW OF AF 
TOTAL</t>
  </si>
  <si>
    <t>TOTAL
WITH
EXCHANGE
AF
TOTAL</t>
  </si>
  <si>
    <t>1/Acre-feet converted from Irrigation are used for Arbuckle Golf Course. (TCC, Colusa County )</t>
  </si>
  <si>
    <t>Note:For projected deliveries, see cost recovery section in Foreword.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</si>
  <si>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</si>
  <si>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</si>
  <si>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</si>
  <si>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</si>
  <si>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</si>
  <si>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</si>
  <si>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</si>
  <si>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</si>
  <si>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</si>
  <si>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</si>
  <si>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</si>
  <si>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</si>
  <si>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</si>
  <si>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</si>
  <si>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</si>
  <si>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</si>
  <si>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</si>
  <si>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Footnotes</t>
  </si>
  <si>
    <t>Totals by Service Area</t>
  </si>
  <si>
    <t>13 - 15</t>
  </si>
  <si>
    <t>Delta Mendota Exchange</t>
  </si>
  <si>
    <t>Toyon Pipeline</t>
  </si>
  <si>
    <t>Tehama-Colusa Canal</t>
  </si>
  <si>
    <t>Spring Creek Conduit</t>
  </si>
  <si>
    <t>Shasta D &amp; R</t>
  </si>
  <si>
    <t>San Luis Canal - Tracy</t>
  </si>
  <si>
    <t>San Luis Canal - Fresno</t>
  </si>
  <si>
    <t>9</t>
  </si>
  <si>
    <t>San Felipe Unit (In Basin)</t>
  </si>
  <si>
    <t>8</t>
  </si>
  <si>
    <t>Sacramento River</t>
  </si>
  <si>
    <t>7 - 8</t>
  </si>
  <si>
    <t>New Melones D &amp; R</t>
  </si>
  <si>
    <t>7</t>
  </si>
  <si>
    <t>Friant-Kern Canal</t>
  </si>
  <si>
    <t xml:space="preserve"> 6 - 7</t>
  </si>
  <si>
    <t>Friant Dam</t>
  </si>
  <si>
    <t xml:space="preserve"> 5</t>
  </si>
  <si>
    <t>Folsom-South Canal</t>
  </si>
  <si>
    <t>Folsom D &amp; R</t>
  </si>
  <si>
    <t>4</t>
  </si>
  <si>
    <t>Delta-Mendota Canal</t>
  </si>
  <si>
    <t>3 - 4</t>
  </si>
  <si>
    <t>Cross Valley Canal</t>
  </si>
  <si>
    <t>3</t>
  </si>
  <si>
    <t>Cow Creek Unit</t>
  </si>
  <si>
    <t>Contra Costa Canal</t>
  </si>
  <si>
    <t>Clear Creek Unit</t>
  </si>
  <si>
    <t>2</t>
  </si>
  <si>
    <t>FACILITIES</t>
  </si>
  <si>
    <t>PAGE</t>
  </si>
  <si>
    <t>BLACK BUTTE D&amp;R (BBD&amp;R) - BBD&amp;R
COUNTY OF
 COLUSA
AF</t>
  </si>
  <si>
    <t>BLACK BUTTE D&amp;R (BBD&amp;R) - BBD&amp;R
COUNTY OF
COLUSA
PW OF AF</t>
  </si>
  <si>
    <t>BLACK BUTTE D&amp;R (BBD&amp;R) - BBD&amp;R
ELK CREEK 
CSD
AF</t>
  </si>
  <si>
    <t>BLACK BUTTE D&amp;R (BBD&amp;R) - BBD&amp;R
ELK CREEK 
CSD
PW OF AF</t>
  </si>
  <si>
    <t>BLACK BUTTE D&amp;R (BBD&amp;R) - BBD&amp;R 
US FOREST
SVC
AF</t>
  </si>
  <si>
    <t>BLACK BUTTE D&amp;R (BBD&amp;R) - BBD&amp;R 
US FOREST
SVC
PW OF AF</t>
  </si>
  <si>
    <t>BLACK BUTTE D&amp;R (BBD&amp;R) - BBD&amp;R
WHITNEY CONST.
AF</t>
  </si>
  <si>
    <t>BLACK BUTTE D&amp;R (BBD&amp;R) - BBD&amp;R
WHITNEY CONST.
PW OF AF</t>
  </si>
  <si>
    <t>BLACK BUTTE D&amp;R (BBD&amp;R) - BBD&amp;R
TOTAL
AF</t>
  </si>
  <si>
    <t>BLACK BUTTE D&amp;R (BBD&amp;R) - BBD&amp;R
TOTAL
PW OF AF</t>
  </si>
  <si>
    <t>CLEAR CREEK UNIT (ClCU) - ClCU 
CLEAR CREEK
CSD 
AF</t>
  </si>
  <si>
    <t>CLEAR CREEK UNIT (ClCU) - ClCU
CLEAR CREEK
CSD
PW OF AF</t>
  </si>
  <si>
    <t>CCC
CONTRA COSTA
WD
AF</t>
  </si>
  <si>
    <t>CCC 
CONTRA COSTA
WD
PW OF AF</t>
  </si>
  <si>
    <t>COW  CREEK UNIT (CoCU) - CoCU
BELLA VISTA 
WD
AF</t>
  </si>
  <si>
    <t>COW  CREEK UNIT (CoCU) - CoCU
BELLA VISTA
WD 
PW OF AF</t>
  </si>
  <si>
    <t>DELTA-MENDOTA CANAL (DMC) - DMC 
SAN LUIS
WD
AF</t>
  </si>
  <si>
    <t>DELTA-MENDOTA CANAL (DMC) - DMC 
SAN LUIS
WD
PW OF AF</t>
  </si>
  <si>
    <t>DELTA-MENDOTA CANAL (DMC) - DMC
TOTAL
AF</t>
  </si>
  <si>
    <t>DELTA-MENDOTA CANAL (DMC) - DMC
TOTAL 
PW OF AF</t>
  </si>
  <si>
    <t>FOLSOM  D&amp;R (FD&amp;R) - FD&amp;R
CITY OF
FOLSOM
AF</t>
  </si>
  <si>
    <t>FOLSOM  D&amp;R (FD&amp;R) - FD&amp;R
CITY OF
FOLSOM
PW OF AF</t>
  </si>
  <si>
    <t>FOLSOM  D&amp;R (FD&amp;R) - FD&amp;R
CITY OF
ROSEVILLE 
AF</t>
  </si>
  <si>
    <t>FOLSOM  D&amp;R (FD&amp;R) - FD&amp;R 
CITY OF
ROSEVILLE
PW OF AF</t>
  </si>
  <si>
    <t>FOLSOM  D&amp;R (FD&amp;R) - FD&amp;R 
EL DORADO
ID
AF</t>
  </si>
  <si>
    <t>FOLSOM  D&amp;R (FD&amp;R) - FD&amp;R 
EL DORADO
ID
PW OF AF</t>
  </si>
  <si>
    <t>FOLSOM-SOUTH CANAL (FSC) - FSC
EAST BAY 
MUD
AF</t>
  </si>
  <si>
    <t>FOLSOM-SOUTH CANAL (FSC) - FSC 
EAST BAY
MUD 
PW OF AF</t>
  </si>
  <si>
    <t>FOLSOM-SOUTH CANAL (FSC) - FSC
SACRAMENTO
CTY WA FSC
AF</t>
  </si>
  <si>
    <t>FOLSOM-SOUTH CANAL (FSC) - FSC
SACRAMENTO
CTY WA FSC
PW OF AF</t>
  </si>
  <si>
    <t>FOLSOM-SOUTH CANAL (FSC) - FSC
SMUD   
1/
AF</t>
  </si>
  <si>
    <t>FOLSOM-SOUTH CANAL (FSC) - FSC 
SMUD   
1/
PW OF AF</t>
  </si>
  <si>
    <t>FOLSOM-SOUTH CANAL (FSC) - FSC
TOTAL 
AF</t>
  </si>
  <si>
    <t>FOLSOM-SOUTH CANAL (FSC) - FSC
TOTAL
PW OF AF</t>
  </si>
  <si>
    <t>FRIANT DAM (FD) - FD
TOTAL
AF</t>
  </si>
  <si>
    <t>FRIANT DAM (FD) - FD
TOTAL  
PW OF AF</t>
  </si>
  <si>
    <t>FKC 
CITY OF
FRESNO
AF</t>
  </si>
  <si>
    <t>FKC 
CITY OF
FRESNO
PW OF AF</t>
  </si>
  <si>
    <t>FKC
CITY OF
LINDSAY 
AF</t>
  </si>
  <si>
    <t>FKC
CITY OF
LINDSAY
PW OF AF</t>
  </si>
  <si>
    <t>FRIANT-KERN CANAL CONTINUED (FKC)FKC
TOTAL
AF</t>
  </si>
  <si>
    <t>FRIANT-KERN CANAL CONTINUED (FKC)FKC
TOTAL
PW OF AF</t>
  </si>
  <si>
    <t>NEW MELONES D &amp; R (NMD&amp;R) - NMD&amp;R 
STOCKTON EAST
WD
AF</t>
  </si>
  <si>
    <t>NEW MELONES D &amp; R (NMD&amp;R) - NMD&amp;R 
STOCKTON EAST
WD
PW OF AF</t>
  </si>
  <si>
    <t>SACRAMENTO RIVER (SR) - SR
CITY OF
REDDING 
AF</t>
  </si>
  <si>
    <t>SACRAMENTO RIVER (SR) - SRSR
CITY OF
REDDING
PW OF AF</t>
  </si>
  <si>
    <t>SACRAMENTO RIVER (SR) - SRSR 
CITY OF WEST
SACRAMENTO 
AF</t>
  </si>
  <si>
    <t>SACRAMENTO RIVER (SR) - SRSR 
CITY OF WEST
SACRAMENTO
PW OF AF</t>
  </si>
  <si>
    <t>SACRAMENTO RIVER CONTINUED (SR) - SR 
TOTAL
AF</t>
  </si>
  <si>
    <t>SACRAMENTO RIVER CONTINUED (SR) - SR
TOTAL 
PW OF AF</t>
  </si>
  <si>
    <t>SAN FELIPE UNIT IN-BASIN (SFUIB) - SFUIB
TOTAL
AF</t>
  </si>
  <si>
    <t>SAN FELIPE UNIT IN-BASIN (SFUIB) - SFUIB
TOTAL 
PW OF AF</t>
  </si>
  <si>
    <t>SLCF 
TOTAL 
PW OF  AF</t>
  </si>
  <si>
    <t>SLCF
TOTAL
 AF</t>
  </si>
  <si>
    <t>SHASTA D&amp;R (SD&amp;R) - SD&amp;R
TOTAL
PW OF AF</t>
  </si>
  <si>
    <t>SHASTA D&amp;R (SD&amp;R) - SD&amp;R
TOTAL
AF</t>
  </si>
  <si>
    <t>SAN LUIS CANAL - TRACY  (SLCT) - SLCT 
TOTAL 
PW OF AF</t>
  </si>
  <si>
    <t>SAN LUIS CANAL - TRACY  (SLCT) - SLCT 
TOTAL
AF</t>
  </si>
  <si>
    <t>SPRING CREEK CONDUIT (SCC) - SCC
TOTAL 
AF</t>
  </si>
  <si>
    <t>SPRING CREEK CONDUIT (SCC) - SCC
TOTAL 
PW OF AF</t>
  </si>
  <si>
    <t>TEHAMA-COLUSA CANAL (TCC)TCC
TOTAL
AF</t>
  </si>
  <si>
    <t>TEHAMA-COLUSA CANAL (TCC)TCC
TOTAL
PW OF AF</t>
  </si>
  <si>
    <t>TP
TOTAL 
AF</t>
  </si>
  <si>
    <t>TP
TOTAL
PW OF AF</t>
  </si>
  <si>
    <t>DM
EXCHANGE WATER 
 AF</t>
  </si>
  <si>
    <t>FOLSOM
D&amp;R 
AF 
TOTAL</t>
  </si>
  <si>
    <t>FOLSOM
D&amp;R
PW OF AF
TOTAL</t>
  </si>
  <si>
    <t>FRIANT
DAM
AF
TOTAL</t>
  </si>
  <si>
    <t>FRIANT
DAM
PW OF AF
TOTAL</t>
  </si>
  <si>
    <t>FRIANT
KERN
CANAL 
AF
TOTAL</t>
  </si>
  <si>
    <t>FRIANT
KERN
CANAL
PW OF AF
 TOTAL</t>
  </si>
  <si>
    <t>NEW
 MELONES
D &amp; R
AF
TOTAL</t>
  </si>
  <si>
    <t>NEW 
MELONES
D&amp;R
PW OF AF 
TOTAL</t>
  </si>
  <si>
    <t>SACRAMENTO 
RIVER
AF
TOTAL</t>
  </si>
  <si>
    <t>SACRAMENTO
RIVER
PW OF AF
TOTAL</t>
  </si>
  <si>
    <t>SAN FELIPE
UNIT
(IN BASIN)
AF 
TOTAL</t>
  </si>
  <si>
    <t>SAN FELIPE
UNIT
(IN BASIN)
PW OF AF
 TOTAL</t>
  </si>
  <si>
    <t>TOYON 
PIPELINE
AF 
TOTAL</t>
  </si>
  <si>
    <t>TOYON PIPELINE
PW OF AF 
TOTAL</t>
  </si>
  <si>
    <t>TOTAL
 W/O
EXCHANGE
AF
TOTAL
TOTAL</t>
  </si>
  <si>
    <t>DELTA-MENDOTA
EXCHANGE
WATER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</si>
</sst>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;;;"/>
    <numFmt numFmtId="165" formatCode="#,##0.000_);\(#,##0.000\)"/>
    <numFmt numFmtId="166" formatCode="hh:mm_)"/>
    <numFmt numFmtId="167" formatCode="_(* #,##0_);_(* \(#,##0\);_(* &quot;-&quot;??_);_(@_)"/>
    <numFmt numFmtId="168" formatCode="mm/dd/yy_)"/>
    <numFmt numFmtId="169" formatCode="0_);\(0\)"/>
    <numFmt numFmtId="170" formatCode="#,##0.000000_);\(#,##0.000000\)"/>
    <numFmt numFmtId="171" formatCode="0_)"/>
    <numFmt numFmtId="172" formatCode="0.0%"/>
    <numFmt numFmtId="173" formatCode="d\-mmm\-yyyy"/>
  </numFmts>
  <fonts count="32" x14ac:knownFonts="1"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indexed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indexed="8"/>
      <name val="Arial"/>
      <family val="2"/>
    </font>
    <font>
      <sz val="14"/>
      <color indexed="8"/>
      <name val="Segoe UI"/>
      <family val="2"/>
    </font>
    <font>
      <b/>
      <u/>
      <sz val="14"/>
      <color indexed="8"/>
      <name val="Segoe UI"/>
      <family val="2"/>
    </font>
    <font>
      <sz val="12"/>
      <color indexed="8"/>
      <name val="Segoe UI"/>
      <family val="2"/>
    </font>
    <font>
      <sz val="12"/>
      <name val="Segoe UI"/>
      <family val="2"/>
    </font>
    <font>
      <sz val="14"/>
      <name val="Segoe UI"/>
      <family val="2"/>
    </font>
    <font>
      <b/>
      <sz val="12"/>
      <color indexed="8"/>
      <name val="Segoe UI"/>
      <family val="2"/>
    </font>
    <font>
      <b/>
      <sz val="12"/>
      <name val="Segoe UI"/>
      <family val="2"/>
    </font>
    <font>
      <sz val="12"/>
      <color indexed="9"/>
      <name val="Segoe UI"/>
      <family val="2"/>
    </font>
    <font>
      <sz val="15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8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 applyProtection="1">
      <alignment wrapText="1"/>
      <protection locked="0"/>
    </xf>
    <xf numFmtId="37" fontId="5" fillId="0" borderId="0" xfId="0" applyNumberFormat="1" applyFont="1" applyProtection="1">
      <protection locked="0"/>
    </xf>
    <xf numFmtId="37" fontId="5" fillId="0" borderId="0" xfId="0" applyNumberFormat="1" applyFont="1"/>
    <xf numFmtId="37" fontId="3" fillId="0" borderId="0" xfId="0" applyNumberFormat="1" applyFont="1"/>
    <xf numFmtId="0" fontId="1" fillId="0" borderId="0" xfId="0" applyFont="1"/>
    <xf numFmtId="43" fontId="5" fillId="0" borderId="0" xfId="1" applyFont="1" applyFill="1" applyProtection="1">
      <protection locked="0"/>
    </xf>
    <xf numFmtId="165" fontId="3" fillId="0" borderId="0" xfId="0" applyNumberFormat="1" applyFont="1"/>
    <xf numFmtId="0" fontId="5" fillId="0" borderId="0" xfId="0" applyFont="1"/>
    <xf numFmtId="37" fontId="1" fillId="0" borderId="0" xfId="0" applyNumberFormat="1" applyFont="1"/>
    <xf numFmtId="37" fontId="5" fillId="0" borderId="5" xfId="0" applyNumberFormat="1" applyFont="1" applyBorder="1" applyProtection="1">
      <protection locked="0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vertical="center"/>
    </xf>
    <xf numFmtId="37" fontId="2" fillId="0" borderId="0" xfId="0" applyNumberFormat="1" applyFont="1" applyProtection="1">
      <protection locked="0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37" fontId="5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37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>
      <alignment horizontal="left" wrapText="1"/>
    </xf>
    <xf numFmtId="37" fontId="2" fillId="0" borderId="0" xfId="0" applyNumberFormat="1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7" fontId="9" fillId="0" borderId="0" xfId="0" applyNumberFormat="1" applyFont="1"/>
    <xf numFmtId="0" fontId="9" fillId="0" borderId="0" xfId="0" applyFont="1"/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/>
    <xf numFmtId="3" fontId="2" fillId="0" borderId="0" xfId="0" applyNumberFormat="1" applyFont="1" applyProtection="1">
      <protection locked="0"/>
    </xf>
    <xf numFmtId="37" fontId="12" fillId="0" borderId="0" xfId="0" applyNumberFormat="1" applyFont="1" applyProtection="1">
      <protection locked="0"/>
    </xf>
    <xf numFmtId="0" fontId="3" fillId="0" borderId="0" xfId="0" applyFont="1" applyAlignment="1">
      <alignment horizontal="centerContinuous" vertical="center"/>
    </xf>
    <xf numFmtId="167" fontId="5" fillId="0" borderId="0" xfId="0" applyNumberFormat="1" applyFont="1"/>
    <xf numFmtId="43" fontId="5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 applyProtection="1">
      <alignment horizontal="center" vertical="top" wrapText="1"/>
      <protection locked="0"/>
    </xf>
    <xf numFmtId="37" fontId="9" fillId="0" borderId="0" xfId="0" applyNumberFormat="1" applyFont="1" applyProtection="1">
      <protection locked="0"/>
    </xf>
    <xf numFmtId="5" fontId="3" fillId="0" borderId="0" xfId="0" applyNumberFormat="1" applyFont="1"/>
    <xf numFmtId="5" fontId="1" fillId="0" borderId="0" xfId="0" applyNumberFormat="1" applyFont="1"/>
    <xf numFmtId="37" fontId="5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37" fontId="2" fillId="0" borderId="0" xfId="0" applyNumberFormat="1" applyFont="1" applyAlignment="1" applyProtection="1">
      <alignment horizontal="centerContinuous" vertical="center"/>
      <protection locked="0"/>
    </xf>
    <xf numFmtId="0" fontId="0" fillId="0" borderId="0" xfId="0" applyAlignment="1">
      <alignment wrapText="1"/>
    </xf>
    <xf numFmtId="0" fontId="17" fillId="0" borderId="0" xfId="0" applyFont="1"/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37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Protection="1">
      <protection locked="0"/>
    </xf>
    <xf numFmtId="37" fontId="2" fillId="0" borderId="0" xfId="0" quotePrefix="1" applyNumberFormat="1" applyFont="1" applyAlignment="1" applyProtection="1">
      <alignment horizontal="left"/>
      <protection locked="0"/>
    </xf>
    <xf numFmtId="169" fontId="2" fillId="0" borderId="0" xfId="0" applyNumberFormat="1" applyFont="1" applyAlignment="1" applyProtection="1">
      <alignment horizontal="left"/>
      <protection locked="0"/>
    </xf>
    <xf numFmtId="2" fontId="2" fillId="0" borderId="0" xfId="0" applyNumberFormat="1" applyFont="1" applyProtection="1">
      <protection locked="0"/>
    </xf>
    <xf numFmtId="2" fontId="2" fillId="0" borderId="0" xfId="0" applyNumberFormat="1" applyFont="1"/>
    <xf numFmtId="170" fontId="5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20" fillId="0" borderId="0" xfId="0" applyNumberFormat="1" applyFont="1" applyProtection="1">
      <protection locked="0"/>
    </xf>
    <xf numFmtId="164" fontId="21" fillId="0" borderId="0" xfId="0" applyNumberFormat="1" applyFont="1" applyProtection="1">
      <protection locked="0"/>
    </xf>
    <xf numFmtId="164" fontId="1" fillId="0" borderId="0" xfId="0" applyNumberFormat="1" applyFont="1"/>
    <xf numFmtId="37" fontId="2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top" wrapText="1"/>
    </xf>
    <xf numFmtId="14" fontId="2" fillId="0" borderId="0" xfId="0" applyNumberFormat="1" applyFont="1" applyProtection="1">
      <protection locked="0"/>
    </xf>
    <xf numFmtId="0" fontId="3" fillId="0" borderId="0" xfId="0" applyFont="1" applyAlignment="1">
      <alignment wrapText="1"/>
    </xf>
    <xf numFmtId="0" fontId="2" fillId="0" borderId="22" xfId="0" applyFont="1" applyBorder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 wrapText="1"/>
    </xf>
    <xf numFmtId="167" fontId="2" fillId="0" borderId="0" xfId="1" applyNumberFormat="1" applyFont="1"/>
    <xf numFmtId="0" fontId="2" fillId="0" borderId="0" xfId="0" quotePrefix="1" applyFont="1"/>
    <xf numFmtId="0" fontId="3" fillId="0" borderId="0" xfId="0" quotePrefix="1" applyFont="1" applyAlignment="1">
      <alignment horizontal="right"/>
    </xf>
    <xf numFmtId="167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center"/>
    </xf>
    <xf numFmtId="17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173" fontId="5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3" fontId="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73" fontId="2" fillId="0" borderId="0" xfId="0" applyNumberFormat="1" applyFont="1" applyAlignment="1">
      <alignment horizontal="left"/>
    </xf>
    <xf numFmtId="173" fontId="2" fillId="0" borderId="0" xfId="0" applyNumberFormat="1" applyFont="1"/>
    <xf numFmtId="173" fontId="23" fillId="0" borderId="0" xfId="0" applyNumberFormat="1" applyFont="1" applyAlignment="1">
      <alignment wrapText="1"/>
    </xf>
    <xf numFmtId="14" fontId="23" fillId="0" borderId="0" xfId="0" applyNumberFormat="1" applyFont="1" applyAlignment="1">
      <alignment horizontal="left" wrapText="1"/>
    </xf>
    <xf numFmtId="173" fontId="23" fillId="0" borderId="0" xfId="0" applyNumberFormat="1" applyFont="1" applyAlignment="1">
      <alignment horizontal="left" vertical="center" wrapText="1"/>
    </xf>
    <xf numFmtId="173" fontId="24" fillId="0" borderId="0" xfId="0" applyNumberFormat="1" applyFont="1" applyAlignment="1">
      <alignment horizontal="center"/>
    </xf>
    <xf numFmtId="173" fontId="24" fillId="0" borderId="0" xfId="0" applyNumberFormat="1" applyFont="1" applyAlignment="1">
      <alignment horizontal="center" vertical="center" wrapText="1"/>
    </xf>
    <xf numFmtId="173" fontId="25" fillId="0" borderId="0" xfId="0" quotePrefix="1" applyNumberFormat="1" applyFont="1" applyAlignment="1">
      <alignment horizontal="center"/>
    </xf>
    <xf numFmtId="173" fontId="25" fillId="0" borderId="0" xfId="0" applyNumberFormat="1" applyFont="1" applyAlignment="1">
      <alignment wrapText="1"/>
    </xf>
    <xf numFmtId="173" fontId="25" fillId="0" borderId="0" xfId="0" applyNumberFormat="1" applyFont="1" applyAlignment="1">
      <alignment horizontal="centerContinuous"/>
    </xf>
    <xf numFmtId="173" fontId="25" fillId="0" borderId="0" xfId="0" applyNumberFormat="1" applyFont="1" applyAlignment="1">
      <alignment horizontal="center"/>
    </xf>
    <xf numFmtId="0" fontId="26" fillId="0" borderId="0" xfId="0" quotePrefix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5" fillId="0" borderId="0" xfId="0" quotePrefix="1" applyNumberFormat="1" applyFont="1" applyAlignment="1">
      <alignment horizontal="center"/>
    </xf>
    <xf numFmtId="4" fontId="23" fillId="0" borderId="0" xfId="0" applyNumberFormat="1" applyFont="1" applyAlignment="1" applyProtection="1">
      <alignment wrapText="1"/>
      <protection locked="0"/>
    </xf>
    <xf numFmtId="0" fontId="27" fillId="0" borderId="0" xfId="0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Continuous" vertical="center"/>
    </xf>
    <xf numFmtId="14" fontId="23" fillId="0" borderId="0" xfId="0" applyNumberFormat="1" applyFont="1" applyAlignment="1" applyProtection="1">
      <alignment horizontal="left" wrapText="1"/>
      <protection locked="0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Continuous"/>
    </xf>
    <xf numFmtId="0" fontId="25" fillId="0" borderId="0" xfId="0" applyFont="1" applyAlignment="1" applyProtection="1">
      <alignment wrapText="1"/>
      <protection locked="0"/>
    </xf>
    <xf numFmtId="43" fontId="25" fillId="0" borderId="0" xfId="1" applyFont="1" applyBorder="1" applyProtection="1">
      <protection locked="0"/>
    </xf>
    <xf numFmtId="37" fontId="25" fillId="0" borderId="0" xfId="0" applyNumberFormat="1" applyFont="1" applyProtection="1">
      <protection locked="0"/>
    </xf>
    <xf numFmtId="37" fontId="25" fillId="0" borderId="0" xfId="0" applyNumberFormat="1" applyFont="1"/>
    <xf numFmtId="164" fontId="25" fillId="0" borderId="0" xfId="0" applyNumberFormat="1" applyFont="1" applyProtection="1">
      <protection locked="0"/>
    </xf>
    <xf numFmtId="43" fontId="25" fillId="0" borderId="0" xfId="1" applyFont="1" applyProtection="1">
      <protection locked="0"/>
    </xf>
    <xf numFmtId="43" fontId="25" fillId="0" borderId="0" xfId="1" applyFont="1" applyFill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5" fillId="0" borderId="0" xfId="0" applyFont="1"/>
    <xf numFmtId="0" fontId="25" fillId="0" borderId="0" xfId="0" quotePrefix="1" applyFont="1" applyAlignment="1" applyProtection="1">
      <alignment wrapText="1"/>
      <protection locked="0"/>
    </xf>
    <xf numFmtId="37" fontId="26" fillId="0" borderId="5" xfId="0" applyNumberFormat="1" applyFont="1" applyBorder="1" applyProtection="1">
      <protection locked="0"/>
    </xf>
    <xf numFmtId="37" fontId="25" fillId="0" borderId="5" xfId="0" applyNumberFormat="1" applyFont="1" applyBorder="1" applyProtection="1">
      <protection locked="0"/>
    </xf>
    <xf numFmtId="37" fontId="26" fillId="0" borderId="0" xfId="0" applyNumberFormat="1" applyFont="1"/>
    <xf numFmtId="0" fontId="25" fillId="0" borderId="0" xfId="0" applyFont="1" applyAlignment="1">
      <alignment wrapText="1"/>
    </xf>
    <xf numFmtId="0" fontId="28" fillId="0" borderId="1" xfId="0" applyFont="1" applyBorder="1" applyAlignment="1" applyProtection="1">
      <alignment horizontal="left" wrapText="1"/>
      <protection locked="0"/>
    </xf>
    <xf numFmtId="37" fontId="25" fillId="0" borderId="2" xfId="0" applyNumberFormat="1" applyFont="1" applyBorder="1" applyAlignment="1" applyProtection="1">
      <alignment horizontal="left" wrapText="1"/>
      <protection locked="0"/>
    </xf>
    <xf numFmtId="0" fontId="25" fillId="0" borderId="3" xfId="0" applyFont="1" applyBorder="1" applyAlignment="1">
      <alignment horizontal="left" wrapText="1"/>
    </xf>
    <xf numFmtId="0" fontId="25" fillId="0" borderId="3" xfId="0" applyFont="1" applyBorder="1" applyAlignment="1" applyProtection="1">
      <alignment horizontal="left" wrapText="1"/>
      <protection locked="0"/>
    </xf>
    <xf numFmtId="37" fontId="25" fillId="0" borderId="3" xfId="0" applyNumberFormat="1" applyFont="1" applyBorder="1" applyAlignment="1" applyProtection="1">
      <alignment horizontal="left" wrapText="1"/>
      <protection locked="0"/>
    </xf>
    <xf numFmtId="37" fontId="25" fillId="0" borderId="4" xfId="0" applyNumberFormat="1" applyFont="1" applyBorder="1" applyAlignment="1" applyProtection="1">
      <alignment horizontal="left" wrapText="1"/>
      <protection locked="0"/>
    </xf>
    <xf numFmtId="37" fontId="25" fillId="0" borderId="0" xfId="0" applyNumberFormat="1" applyFont="1" applyAlignment="1" applyProtection="1">
      <alignment horizontal="left" wrapText="1"/>
      <protection locked="0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3" fillId="0" borderId="0" xfId="0" applyFont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centerContinuous" vertical="center"/>
      <protection locked="0"/>
    </xf>
    <xf numFmtId="43" fontId="25" fillId="0" borderId="0" xfId="1" applyFont="1"/>
    <xf numFmtId="0" fontId="25" fillId="0" borderId="0" xfId="0" quotePrefix="1" applyFont="1" applyAlignment="1" applyProtection="1">
      <alignment horizontal="left" wrapText="1"/>
      <protection locked="0"/>
    </xf>
    <xf numFmtId="0" fontId="25" fillId="0" borderId="2" xfId="0" applyFont="1" applyBorder="1" applyAlignment="1">
      <alignment horizontal="left" wrapText="1"/>
    </xf>
    <xf numFmtId="0" fontId="23" fillId="0" borderId="0" xfId="0" applyFont="1" applyProtection="1">
      <protection locked="0"/>
    </xf>
    <xf numFmtId="0" fontId="23" fillId="0" borderId="0" xfId="0" applyFont="1"/>
    <xf numFmtId="14" fontId="23" fillId="0" borderId="0" xfId="0" applyNumberFormat="1" applyFont="1" applyAlignment="1" applyProtection="1">
      <alignment horizontal="left"/>
      <protection locked="0"/>
    </xf>
    <xf numFmtId="166" fontId="23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>
      <alignment horizontal="left"/>
    </xf>
    <xf numFmtId="0" fontId="25" fillId="0" borderId="0" xfId="0" applyFont="1" applyProtection="1">
      <protection locked="0"/>
    </xf>
    <xf numFmtId="43" fontId="25" fillId="0" borderId="0" xfId="1" applyFont="1" applyProtection="1"/>
    <xf numFmtId="0" fontId="25" fillId="0" borderId="0" xfId="0" applyFont="1" applyAlignment="1" applyProtection="1">
      <alignment horizontal="left"/>
      <protection locked="0"/>
    </xf>
    <xf numFmtId="0" fontId="25" fillId="0" borderId="0" xfId="0" quotePrefix="1" applyFont="1" applyProtection="1">
      <protection locked="0"/>
    </xf>
    <xf numFmtId="37" fontId="25" fillId="0" borderId="0" xfId="2" applyNumberFormat="1" applyFont="1" applyProtection="1">
      <protection locked="0"/>
    </xf>
    <xf numFmtId="37" fontId="25" fillId="0" borderId="6" xfId="0" applyNumberFormat="1" applyFont="1" applyBorder="1" applyAlignment="1" applyProtection="1">
      <alignment horizontal="left" wrapText="1"/>
      <protection locked="0"/>
    </xf>
    <xf numFmtId="0" fontId="25" fillId="0" borderId="7" xfId="0" applyFont="1" applyBorder="1" applyAlignment="1">
      <alignment horizontal="left" wrapText="1"/>
    </xf>
    <xf numFmtId="37" fontId="25" fillId="0" borderId="7" xfId="0" applyNumberFormat="1" applyFont="1" applyBorder="1" applyAlignment="1" applyProtection="1">
      <alignment horizontal="left" wrapText="1"/>
      <protection locked="0"/>
    </xf>
    <xf numFmtId="37" fontId="25" fillId="0" borderId="8" xfId="0" applyNumberFormat="1" applyFont="1" applyBorder="1" applyAlignment="1" applyProtection="1">
      <alignment horizontal="left" wrapText="1"/>
      <protection locked="0"/>
    </xf>
    <xf numFmtId="0" fontId="23" fillId="0" borderId="0" xfId="0" applyFont="1" applyAlignment="1" applyProtection="1">
      <alignment wrapText="1"/>
      <protection locked="0"/>
    </xf>
    <xf numFmtId="167" fontId="25" fillId="0" borderId="0" xfId="1" applyNumberFormat="1" applyFont="1" applyFill="1" applyProtection="1">
      <protection locked="0"/>
    </xf>
    <xf numFmtId="0" fontId="28" fillId="0" borderId="1" xfId="0" applyFont="1" applyBorder="1" applyAlignment="1">
      <alignment horizontal="left" wrapText="1"/>
    </xf>
    <xf numFmtId="37" fontId="25" fillId="0" borderId="9" xfId="0" applyNumberFormat="1" applyFont="1" applyBorder="1" applyAlignment="1" applyProtection="1">
      <alignment horizontal="left" wrapText="1"/>
      <protection locked="0"/>
    </xf>
    <xf numFmtId="37" fontId="25" fillId="0" borderId="10" xfId="0" applyNumberFormat="1" applyFont="1" applyBorder="1" applyAlignment="1" applyProtection="1">
      <alignment horizontal="left" wrapText="1"/>
      <protection locked="0"/>
    </xf>
    <xf numFmtId="0" fontId="25" fillId="0" borderId="10" xfId="0" applyFont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0" fontId="25" fillId="0" borderId="9" xfId="0" applyFont="1" applyBorder="1" applyAlignment="1" applyProtection="1">
      <alignment horizontal="left" wrapText="1"/>
      <protection locked="0"/>
    </xf>
    <xf numFmtId="0" fontId="25" fillId="0" borderId="10" xfId="0" applyFont="1" applyBorder="1" applyAlignment="1" applyProtection="1">
      <alignment horizontal="left" wrapText="1"/>
      <protection locked="0"/>
    </xf>
    <xf numFmtId="37" fontId="23" fillId="0" borderId="0" xfId="0" applyNumberFormat="1" applyFont="1" applyProtection="1">
      <protection locked="0"/>
    </xf>
    <xf numFmtId="166" fontId="23" fillId="0" borderId="0" xfId="0" applyNumberFormat="1" applyFont="1" applyAlignment="1" applyProtection="1">
      <alignment horizontal="left" wrapText="1"/>
      <protection locked="0"/>
    </xf>
    <xf numFmtId="166" fontId="23" fillId="0" borderId="0" xfId="0" applyNumberFormat="1" applyFont="1" applyAlignment="1" applyProtection="1">
      <alignment horizontal="centerContinuous"/>
      <protection locked="0"/>
    </xf>
    <xf numFmtId="166" fontId="23" fillId="0" borderId="0" xfId="0" applyNumberFormat="1" applyFont="1" applyBorder="1" applyAlignment="1" applyProtection="1">
      <alignment horizontal="left" wrapText="1"/>
      <protection locked="0"/>
    </xf>
    <xf numFmtId="0" fontId="27" fillId="0" borderId="0" xfId="0" applyFont="1" applyBorder="1"/>
    <xf numFmtId="166" fontId="23" fillId="0" borderId="0" xfId="0" applyNumberFormat="1" applyFont="1" applyBorder="1" applyAlignment="1" applyProtection="1">
      <alignment horizontal="centerContinuous"/>
      <protection locked="0"/>
    </xf>
    <xf numFmtId="0" fontId="23" fillId="0" borderId="0" xfId="0" applyFont="1" applyAlignment="1">
      <alignment wrapText="1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 applyProtection="1">
      <alignment horizontal="left" vertical="center"/>
      <protection locked="0"/>
    </xf>
    <xf numFmtId="37" fontId="25" fillId="0" borderId="0" xfId="0" applyNumberFormat="1" applyFont="1" applyAlignment="1" applyProtection="1">
      <alignment vertical="center"/>
      <protection locked="0"/>
    </xf>
    <xf numFmtId="37" fontId="23" fillId="0" borderId="0" xfId="0" applyNumberFormat="1" applyFont="1"/>
    <xf numFmtId="43" fontId="25" fillId="0" borderId="0" xfId="1" applyFont="1" applyFill="1" applyProtection="1"/>
    <xf numFmtId="0" fontId="28" fillId="0" borderId="9" xfId="0" applyFont="1" applyBorder="1" applyAlignment="1" applyProtection="1">
      <alignment horizontal="left" wrapText="1"/>
      <protection locked="0"/>
    </xf>
    <xf numFmtId="0" fontId="28" fillId="0" borderId="10" xfId="0" applyFont="1" applyBorder="1" applyAlignment="1">
      <alignment horizontal="left" wrapText="1"/>
    </xf>
    <xf numFmtId="0" fontId="28" fillId="0" borderId="10" xfId="0" applyFont="1" applyBorder="1" applyAlignment="1" applyProtection="1">
      <alignment horizontal="left" wrapText="1"/>
      <protection locked="0"/>
    </xf>
    <xf numFmtId="0" fontId="23" fillId="0" borderId="0" xfId="0" applyFont="1" applyAlignment="1">
      <alignment horizontal="left" wrapText="1"/>
    </xf>
    <xf numFmtId="0" fontId="26" fillId="0" borderId="0" xfId="0" applyFont="1"/>
    <xf numFmtId="0" fontId="28" fillId="0" borderId="3" xfId="0" applyFont="1" applyBorder="1" applyAlignment="1" applyProtection="1">
      <alignment horizontal="left" wrapText="1"/>
      <protection locked="0"/>
    </xf>
    <xf numFmtId="0" fontId="28" fillId="0" borderId="3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37" fontId="28" fillId="0" borderId="9" xfId="0" applyNumberFormat="1" applyFont="1" applyBorder="1" applyAlignment="1" applyProtection="1">
      <alignment horizontal="left" wrapText="1"/>
      <protection locked="0"/>
    </xf>
    <xf numFmtId="37" fontId="28" fillId="0" borderId="11" xfId="0" applyNumberFormat="1" applyFont="1" applyBorder="1" applyAlignment="1" applyProtection="1">
      <alignment horizontal="left" wrapText="1"/>
      <protection locked="0"/>
    </xf>
    <xf numFmtId="37" fontId="28" fillId="0" borderId="14" xfId="0" applyNumberFormat="1" applyFont="1" applyBorder="1" applyAlignment="1" applyProtection="1">
      <alignment horizontal="left" wrapText="1"/>
      <protection locked="0"/>
    </xf>
    <xf numFmtId="37" fontId="28" fillId="0" borderId="15" xfId="0" applyNumberFormat="1" applyFont="1" applyBorder="1" applyAlignment="1" applyProtection="1">
      <alignment horizontal="left" wrapText="1"/>
      <protection locked="0"/>
    </xf>
    <xf numFmtId="14" fontId="23" fillId="0" borderId="0" xfId="0" applyNumberFormat="1" applyFont="1" applyAlignment="1" applyProtection="1">
      <alignment wrapText="1"/>
      <protection locked="0"/>
    </xf>
    <xf numFmtId="37" fontId="25" fillId="0" borderId="12" xfId="0" applyNumberFormat="1" applyFont="1" applyBorder="1" applyAlignment="1" applyProtection="1">
      <alignment horizontal="left" wrapText="1"/>
      <protection locked="0"/>
    </xf>
    <xf numFmtId="37" fontId="25" fillId="0" borderId="13" xfId="0" applyNumberFormat="1" applyFont="1" applyBorder="1" applyAlignment="1" applyProtection="1">
      <alignment horizontal="left" wrapText="1"/>
      <protection locked="0"/>
    </xf>
    <xf numFmtId="37" fontId="25" fillId="0" borderId="16" xfId="0" applyNumberFormat="1" applyFont="1" applyBorder="1" applyAlignment="1" applyProtection="1">
      <alignment horizontal="left" wrapText="1"/>
      <protection locked="0"/>
    </xf>
    <xf numFmtId="37" fontId="28" fillId="0" borderId="10" xfId="0" applyNumberFormat="1" applyFont="1" applyBorder="1" applyAlignment="1" applyProtection="1">
      <alignment horizontal="left" wrapText="1"/>
      <protection locked="0"/>
    </xf>
    <xf numFmtId="0" fontId="28" fillId="0" borderId="11" xfId="0" applyFont="1" applyBorder="1" applyAlignment="1">
      <alignment horizontal="left" wrapText="1"/>
    </xf>
    <xf numFmtId="37" fontId="28" fillId="0" borderId="12" xfId="0" applyNumberFormat="1" applyFont="1" applyBorder="1" applyAlignment="1" applyProtection="1">
      <alignment horizontal="left" wrapText="1"/>
      <protection locked="0"/>
    </xf>
    <xf numFmtId="37" fontId="28" fillId="0" borderId="13" xfId="0" applyNumberFormat="1" applyFont="1" applyBorder="1" applyAlignment="1" applyProtection="1">
      <alignment horizontal="left" wrapText="1"/>
      <protection locked="0"/>
    </xf>
    <xf numFmtId="37" fontId="28" fillId="0" borderId="16" xfId="0" applyNumberFormat="1" applyFont="1" applyBorder="1" applyAlignment="1" applyProtection="1">
      <alignment horizontal="left" wrapText="1"/>
      <protection locked="0"/>
    </xf>
    <xf numFmtId="0" fontId="27" fillId="0" borderId="0" xfId="0" applyFont="1" applyAlignment="1">
      <alignment horizontal="centerContinuous" wrapText="1"/>
    </xf>
    <xf numFmtId="0" fontId="27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Continuous"/>
    </xf>
    <xf numFmtId="37" fontId="28" fillId="0" borderId="9" xfId="0" applyNumberFormat="1" applyFont="1" applyBorder="1" applyAlignment="1" applyProtection="1">
      <alignment horizontal="centerContinuous" vertical="center" wrapText="1"/>
      <protection locked="0"/>
    </xf>
    <xf numFmtId="0" fontId="25" fillId="0" borderId="10" xfId="0" applyFont="1" applyBorder="1" applyAlignment="1">
      <alignment horizontal="centerContinuous" vertical="center"/>
    </xf>
    <xf numFmtId="37" fontId="25" fillId="0" borderId="11" xfId="0" applyNumberFormat="1" applyFont="1" applyBorder="1" applyAlignment="1" applyProtection="1">
      <alignment horizontal="centerContinuous" vertical="center"/>
      <protection locked="0"/>
    </xf>
    <xf numFmtId="0" fontId="29" fillId="0" borderId="1" xfId="0" applyFont="1" applyBorder="1" applyAlignment="1">
      <alignment horizontal="left" wrapText="1"/>
    </xf>
    <xf numFmtId="37" fontId="25" fillId="0" borderId="11" xfId="0" applyNumberFormat="1" applyFont="1" applyBorder="1" applyAlignment="1" applyProtection="1">
      <alignment horizontal="left" wrapText="1"/>
      <protection locked="0"/>
    </xf>
    <xf numFmtId="37" fontId="23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" fontId="26" fillId="0" borderId="0" xfId="0" applyNumberFormat="1" applyFont="1"/>
    <xf numFmtId="1" fontId="30" fillId="0" borderId="0" xfId="0" applyNumberFormat="1" applyFont="1"/>
    <xf numFmtId="0" fontId="28" fillId="0" borderId="17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3" xfId="0" applyFont="1" applyBorder="1" applyAlignment="1" applyProtection="1">
      <alignment horizontal="left" wrapText="1"/>
      <protection locked="0"/>
    </xf>
    <xf numFmtId="168" fontId="23" fillId="0" borderId="0" xfId="0" applyNumberFormat="1" applyFont="1" applyAlignment="1" applyProtection="1">
      <alignment vertical="top" wrapText="1"/>
      <protection locked="0"/>
    </xf>
    <xf numFmtId="168" fontId="23" fillId="0" borderId="0" xfId="0" applyNumberFormat="1" applyFont="1" applyAlignment="1" applyProtection="1">
      <alignment horizontal="left"/>
      <protection locked="0"/>
    </xf>
    <xf numFmtId="14" fontId="23" fillId="0" borderId="0" xfId="0" applyNumberFormat="1" applyFont="1" applyAlignment="1" applyProtection="1">
      <alignment vertical="top" wrapText="1"/>
      <protection locked="0"/>
    </xf>
    <xf numFmtId="166" fontId="23" fillId="0" borderId="0" xfId="0" applyNumberFormat="1" applyFont="1" applyAlignment="1" applyProtection="1">
      <alignment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37" fontId="31" fillId="0" borderId="0" xfId="0" applyNumberFormat="1" applyFont="1"/>
    <xf numFmtId="37" fontId="31" fillId="0" borderId="0" xfId="0" applyNumberFormat="1" applyFont="1" applyProtection="1">
      <protection locked="0"/>
    </xf>
    <xf numFmtId="0" fontId="28" fillId="0" borderId="12" xfId="0" applyFont="1" applyBorder="1" applyAlignment="1">
      <alignment horizontal="left" wrapText="1"/>
    </xf>
    <xf numFmtId="0" fontId="28" fillId="0" borderId="13" xfId="0" applyFont="1" applyBorder="1" applyAlignment="1">
      <alignment horizontal="left" wrapText="1"/>
    </xf>
    <xf numFmtId="168" fontId="23" fillId="0" borderId="0" xfId="0" applyNumberFormat="1" applyFont="1" applyAlignment="1" applyProtection="1">
      <alignment wrapText="1"/>
      <protection locked="0"/>
    </xf>
    <xf numFmtId="37" fontId="23" fillId="0" borderId="0" xfId="0" applyNumberFormat="1" applyFont="1" applyAlignment="1" applyProtection="1">
      <alignment vertical="top" wrapText="1"/>
      <protection locked="0"/>
    </xf>
    <xf numFmtId="37" fontId="23" fillId="0" borderId="0" xfId="0" applyNumberFormat="1" applyFont="1" applyAlignment="1" applyProtection="1">
      <alignment horizontal="centerContinuous" vertical="top" wrapText="1"/>
      <protection locked="0"/>
    </xf>
    <xf numFmtId="2" fontId="23" fillId="0" borderId="0" xfId="0" applyNumberFormat="1" applyFont="1" applyProtection="1">
      <protection locked="0"/>
    </xf>
    <xf numFmtId="2" fontId="23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Protection="1">
      <protection locked="0"/>
    </xf>
    <xf numFmtId="0" fontId="29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171" fontId="23" fillId="0" borderId="0" xfId="0" applyNumberFormat="1" applyFont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centerContinuous"/>
      <protection locked="0"/>
    </xf>
    <xf numFmtId="171" fontId="28" fillId="0" borderId="20" xfId="0" applyNumberFormat="1" applyFont="1" applyBorder="1" applyAlignment="1">
      <alignment horizontal="left" wrapText="1"/>
    </xf>
    <xf numFmtId="37" fontId="25" fillId="0" borderId="12" xfId="0" applyNumberFormat="1" applyFont="1" applyBorder="1" applyAlignment="1">
      <alignment horizontal="left" wrapText="1"/>
    </xf>
    <xf numFmtId="37" fontId="25" fillId="0" borderId="16" xfId="0" applyNumberFormat="1" applyFont="1" applyBorder="1" applyAlignment="1">
      <alignment horizontal="left" wrapText="1"/>
    </xf>
    <xf numFmtId="14" fontId="23" fillId="0" borderId="0" xfId="0" applyNumberFormat="1" applyFont="1" applyAlignment="1">
      <alignment wrapText="1"/>
    </xf>
    <xf numFmtId="37" fontId="23" fillId="0" borderId="0" xfId="0" applyNumberFormat="1" applyFont="1" applyAlignment="1">
      <alignment vertical="center" wrapText="1"/>
    </xf>
    <xf numFmtId="37" fontId="23" fillId="0" borderId="0" xfId="0" applyNumberFormat="1" applyFont="1" applyAlignment="1">
      <alignment horizontal="centerContinuous" vertical="center"/>
    </xf>
    <xf numFmtId="37" fontId="25" fillId="0" borderId="5" xfId="0" applyNumberFormat="1" applyFont="1" applyBorder="1"/>
    <xf numFmtId="37" fontId="28" fillId="0" borderId="12" xfId="0" applyNumberFormat="1" applyFont="1" applyBorder="1" applyAlignment="1">
      <alignment horizontal="left" wrapText="1"/>
    </xf>
    <xf numFmtId="37" fontId="28" fillId="0" borderId="16" xfId="0" applyNumberFormat="1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37" fontId="28" fillId="0" borderId="13" xfId="0" applyNumberFormat="1" applyFont="1" applyBorder="1" applyAlignment="1">
      <alignment horizontal="left" wrapText="1"/>
    </xf>
    <xf numFmtId="0" fontId="28" fillId="0" borderId="16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37" fontId="23" fillId="0" borderId="0" xfId="0" applyNumberFormat="1" applyFont="1" applyAlignment="1">
      <alignment horizontal="centerContinuous" vertical="center" wrapText="1"/>
    </xf>
    <xf numFmtId="2" fontId="25" fillId="0" borderId="0" xfId="0" applyNumberFormat="1" applyFont="1" applyProtection="1">
      <protection locked="0"/>
    </xf>
    <xf numFmtId="2" fontId="25" fillId="0" borderId="0" xfId="0" applyNumberFormat="1" applyFont="1"/>
    <xf numFmtId="3" fontId="25" fillId="0" borderId="0" xfId="1" applyNumberFormat="1" applyFont="1" applyFill="1" applyProtection="1">
      <protection locked="0"/>
    </xf>
    <xf numFmtId="3" fontId="25" fillId="0" borderId="0" xfId="0" applyNumberFormat="1" applyFont="1" applyProtection="1">
      <protection locked="0"/>
    </xf>
    <xf numFmtId="37" fontId="25" fillId="0" borderId="21" xfId="0" applyNumberFormat="1" applyFont="1" applyBorder="1" applyProtection="1">
      <protection locked="0"/>
    </xf>
    <xf numFmtId="0" fontId="25" fillId="0" borderId="16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27" fillId="0" borderId="0" xfId="0" quotePrefix="1" applyFont="1" applyAlignment="1">
      <alignment horizontal="left" wrapText="1"/>
    </xf>
    <xf numFmtId="0" fontId="27" fillId="0" borderId="0" xfId="0" applyFont="1" applyAlignment="1">
      <alignment wrapText="1"/>
    </xf>
  </cellXfs>
  <cellStyles count="3">
    <cellStyle name="Comma" xfId="1" builtinId="3"/>
    <cellStyle name="Normal" xfId="0" builtinId="0"/>
    <cellStyle name="Normal 2" xfId="2" xr:uid="{E6B63660-3D03-4EFF-92D4-1E878B86A403}"/>
  </cellStyles>
  <dxfs count="250"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name val="Segoe UI"/>
        <family val="2"/>
        <scheme val="none"/>
      </font>
      <alignment horizontal="left"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73" formatCode="d\-mmm\-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border outline="0"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13%20F.Z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13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1"/>
      <sheetName val="PAGE_2"/>
      <sheetName val="PAGE_3"/>
      <sheetName val="PAGE_4"/>
      <sheetName val="PAGE_5"/>
      <sheetName val="PAGE_6"/>
      <sheetName val="PAGE_7"/>
      <sheetName val="PAGE_8"/>
      <sheetName val="PAGE_9"/>
      <sheetName val="PAGE_10"/>
      <sheetName val="PAGE_11"/>
      <sheetName val="PAGE_12"/>
      <sheetName val="PAGE_13"/>
      <sheetName val="PAGE_14"/>
      <sheetName val="PAGE_15"/>
      <sheetName val="PAGE_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_Input"/>
      <sheetName val="PAGE_1"/>
      <sheetName val="PAGE_2"/>
      <sheetName val="PAGE_3"/>
      <sheetName val="PAGE_4"/>
      <sheetName val="PAGE_5"/>
      <sheetName val="PAGE_6"/>
      <sheetName val="PAGE_7"/>
      <sheetName val="PAGE_8"/>
      <sheetName val="PAGE_9"/>
      <sheetName val="PAGE_10"/>
      <sheetName val="PAGE_11"/>
      <sheetName val="PAGE_12"/>
      <sheetName val="PAGE_13"/>
      <sheetName val="PAGE_14"/>
      <sheetName val="PAGE_15"/>
      <sheetName val="PAGE_16"/>
      <sheetName val="Chart1"/>
      <sheetName val="ActualDeliveries"/>
      <sheetName val="Summary"/>
      <sheetName val="PW Interest Cal"/>
      <sheetName val="Rescheduled water 99 thru 10"/>
      <sheetName val="Shasta CWA &amp; Centerville Del"/>
      <sheetName val="Shasta CWA Assignment"/>
      <sheetName val="Broadview Assignment"/>
    </sheetNames>
    <sheetDataSet>
      <sheetData sheetId="0">
        <row r="1">
          <cell r="A1" t="str">
            <v>M&amp;I 2023 Sch A-13 F.Z25.XLSM</v>
          </cell>
        </row>
        <row r="2">
          <cell r="A2" t="str">
            <v>09/13/2022</v>
          </cell>
        </row>
      </sheetData>
      <sheetData sheetId="1">
        <row r="55">
          <cell r="K55">
            <v>0.97679658003878256</v>
          </cell>
        </row>
        <row r="56">
          <cell r="K56">
            <v>0.95413155877546163</v>
          </cell>
        </row>
        <row r="57">
          <cell r="K57">
            <v>0.93199244351894361</v>
          </cell>
        </row>
        <row r="58">
          <cell r="K58">
            <v>0.91036703145129227</v>
          </cell>
        </row>
        <row r="59">
          <cell r="K59">
            <v>0.88924340290168113</v>
          </cell>
        </row>
        <row r="60">
          <cell r="K60">
            <v>0.86860991477641136</v>
          </cell>
        </row>
        <row r="61">
          <cell r="K61">
            <v>0.84845519414137704</v>
          </cell>
        </row>
        <row r="62">
          <cell r="K62">
            <v>0.82876813195343835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6">
          <cell r="F16">
            <v>10</v>
          </cell>
        </row>
        <row r="17">
          <cell r="F17">
            <v>0</v>
          </cell>
        </row>
        <row r="18">
          <cell r="F18">
            <v>7</v>
          </cell>
        </row>
        <row r="19">
          <cell r="F19">
            <v>0</v>
          </cell>
        </row>
        <row r="24">
          <cell r="F24">
            <v>1747</v>
          </cell>
        </row>
        <row r="28">
          <cell r="F28">
            <v>69644</v>
          </cell>
        </row>
        <row r="32">
          <cell r="F32">
            <v>2904</v>
          </cell>
        </row>
        <row r="36">
          <cell r="F36">
            <v>0</v>
          </cell>
        </row>
        <row r="37">
          <cell r="F37">
            <v>0</v>
          </cell>
        </row>
        <row r="42">
          <cell r="F42">
            <v>317</v>
          </cell>
        </row>
        <row r="43">
          <cell r="F43">
            <v>3205</v>
          </cell>
        </row>
        <row r="44">
          <cell r="F44">
            <v>0</v>
          </cell>
        </row>
        <row r="45">
          <cell r="F45">
            <v>294</v>
          </cell>
        </row>
        <row r="46">
          <cell r="F46">
            <v>24</v>
          </cell>
        </row>
        <row r="52">
          <cell r="F52">
            <v>2100</v>
          </cell>
        </row>
        <row r="53">
          <cell r="F53">
            <v>13410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1369</v>
          </cell>
        </row>
        <row r="57">
          <cell r="F57">
            <v>0</v>
          </cell>
        </row>
        <row r="75">
          <cell r="F75">
            <v>550</v>
          </cell>
        </row>
        <row r="77">
          <cell r="F77">
            <v>1014</v>
          </cell>
        </row>
        <row r="78">
          <cell r="F78">
            <v>483</v>
          </cell>
        </row>
        <row r="79">
          <cell r="F79">
            <v>280</v>
          </cell>
        </row>
        <row r="80">
          <cell r="F80">
            <v>456</v>
          </cell>
        </row>
        <row r="81">
          <cell r="F81">
            <v>104</v>
          </cell>
        </row>
        <row r="82">
          <cell r="F82">
            <v>1476</v>
          </cell>
        </row>
        <row r="87">
          <cell r="F87">
            <v>40634</v>
          </cell>
        </row>
        <row r="91">
          <cell r="F91">
            <v>1497</v>
          </cell>
        </row>
        <row r="92">
          <cell r="F92">
            <v>2073</v>
          </cell>
        </row>
        <row r="93">
          <cell r="F93">
            <v>150</v>
          </cell>
        </row>
        <row r="94">
          <cell r="F94">
            <v>19</v>
          </cell>
        </row>
        <row r="99">
          <cell r="F99">
            <v>1407</v>
          </cell>
        </row>
        <row r="100">
          <cell r="F100">
            <v>73991</v>
          </cell>
        </row>
        <row r="105">
          <cell r="F105">
            <v>2243</v>
          </cell>
        </row>
        <row r="106">
          <cell r="F106">
            <v>4675</v>
          </cell>
        </row>
        <row r="107">
          <cell r="F107">
            <v>918</v>
          </cell>
        </row>
        <row r="108">
          <cell r="F108">
            <v>2</v>
          </cell>
        </row>
        <row r="109">
          <cell r="F109">
            <v>3442</v>
          </cell>
        </row>
        <row r="128">
          <cell r="F128">
            <v>3983</v>
          </cell>
        </row>
        <row r="129">
          <cell r="F129">
            <v>44</v>
          </cell>
        </row>
        <row r="130">
          <cell r="F130">
            <v>219</v>
          </cell>
        </row>
        <row r="135">
          <cell r="F135">
            <v>128</v>
          </cell>
        </row>
        <row r="136">
          <cell r="F136">
            <v>49</v>
          </cell>
        </row>
      </sheetData>
      <sheetData sheetId="20" refreshError="1"/>
      <sheetData sheetId="21" refreshError="1"/>
      <sheetData sheetId="22" refreshError="1"/>
      <sheetData sheetId="23"/>
      <sheetData sheetId="24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B54778-0F87-47F4-86A2-AA51790ED4A1}" name="Table114" displayName="Table114" ref="A6:B27" totalsRowShown="0" headerRowDxfId="245" dataDxfId="244">
  <autoFilter ref="A6:B27" xr:uid="{B07A38E6-9C9C-4E8B-AFD5-8D403624E94D}"/>
  <tableColumns count="2">
    <tableColumn id="1" xr3:uid="{9DDE71DA-EBE3-4970-BD07-C96E9758BD20}" name="PAGE" dataDxfId="247"/>
    <tableColumn id="2" xr3:uid="{51AF05BC-9726-4B97-8FA8-C2F1DE0F624D}" name="FACILITIES" dataDxfId="24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946BE0-D472-4CCF-9231-7CAA28901D85}" name="Table5" displayName="Table5" ref="A6:J59" totalsRowShown="0" headerRowDxfId="60" dataDxfId="61">
  <autoFilter ref="A6:J59" xr:uid="{86946BE0-D472-4CCF-9231-7CAA28901D85}"/>
  <tableColumns count="10">
    <tableColumn id="1" xr3:uid="{D4D72E30-1CC8-43EA-BE52-F345DC6D8412}" name="YEAR" dataDxfId="71"/>
    <tableColumn id="2" xr3:uid="{DD08EA21-99BD-4C1B-9AA8-BC8268F0B6CF}" name="TP_x000a_CITY OF_x000a_REDDING_x000a_AF" dataDxfId="70"/>
    <tableColumn id="3" xr3:uid="{A54BBD05-CFE7-43C4-B4E0-072EAC335FBC}" name="TP_x000a_CITY OF_x000a_REDDING_x000a_PW OF AF" dataDxfId="69"/>
    <tableColumn id="4" xr3:uid="{5364A1DE-5903-45DD-A093-2917E64700E8}" name="TP _x000a_CITY OF_x000a_SHASTA LAKE_x000a_ AF" dataDxfId="68"/>
    <tableColumn id="5" xr3:uid="{7F89B91A-4E0B-4A20-A2E5-8964A5DE6DDF}" name="TP_x000a_ CITY OF_x000a_SHASTA LAKE_x000a_ PW OF AF" dataDxfId="67"/>
    <tableColumn id="6" xr3:uid="{255B8B35-B56E-4CC0-8783-D4C22DBD105F}" name="TP _x000a_US FOREST_x000a_SVC_x000a_AF" dataDxfId="66"/>
    <tableColumn id="7" xr3:uid="{10C8D9D1-F65C-4FF1-9F80-6BE6E9249CBB}" name="TP _x000a_US FOREST_x000a_SVC_x000a_PW OF AF" dataDxfId="65"/>
    <tableColumn id="8" xr3:uid="{491AD0FA-25EF-4628-BCE8-E3618E99B01D}" name="TP_x000a_TOTAL _x000a_AF" dataDxfId="64"/>
    <tableColumn id="9" xr3:uid="{6F079B29-8179-48D5-A09E-DCF17F14BE73}" name="TP_x000a_TOTAL_x000a_PW OF AF" dataDxfId="63"/>
    <tableColumn id="10" xr3:uid="{260A5867-02BF-49F6-87C0-AB8F2282EF30}" name="DM_x000a_EXCHANGE WATER _x000a_ AF" dataDxfId="62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74D6C8-7E05-4D6F-9A89-EE196FFA0A94}" name="Table4" displayName="Table4" ref="A6:Q59" totalsRowShown="0" headerRowDxfId="41" dataDxfId="42">
  <autoFilter ref="A6:Q59" xr:uid="{3674D6C8-7E05-4D6F-9A89-EE196FFA0A94}"/>
  <tableColumns count="17">
    <tableColumn id="1" xr3:uid="{DD9FE90F-1AD9-469D-AACF-C12BD3BAA3E0}" name="YEAR" dataDxfId="59"/>
    <tableColumn id="2" xr3:uid="{5D0C886A-2A11-49DE-B874-C7B4A0565027}" name="BLACK_x000a_BUTTE _x000a_D&amp;R_x000a_AF_x000a_TOTAL" dataDxfId="58">
      <calculatedColumnFormula>PAGE_2!N7</calculatedColumnFormula>
    </tableColumn>
    <tableColumn id="3" xr3:uid="{E8F7F7D4-3F5D-42F2-89A7-A8DA15167E9E}" name="BLACK_x000a_BUTTE_x000a_D&amp;R_x000a_PW OF AF_x000a_TOTAL" dataDxfId="57">
      <calculatedColumnFormula>PAGE_2!O7</calculatedColumnFormula>
    </tableColumn>
    <tableColumn id="4" xr3:uid="{FBA0F5D3-2CD7-4DB2-86DE-FD547AD47DE5}" name="CLEAR_x000a_CREEK_x000a_UNIT_x000a_AF_x000a_TOTAL" dataDxfId="56">
      <calculatedColumnFormula>PAGE_2!Q7</calculatedColumnFormula>
    </tableColumn>
    <tableColumn id="5" xr3:uid="{8DAF9ED9-5FF3-4575-937F-21A5321136D2}" name="CLEAR_x000a_CREEK_x000a_UNIT_x000a_PW OF AF_x000a_TOTAL" dataDxfId="55">
      <calculatedColumnFormula>PAGE_2!R7</calculatedColumnFormula>
    </tableColumn>
    <tableColumn id="6" xr3:uid="{3E25CF88-466A-4F6A-AA35-A6E7532B00AA}" name="CONTRA_x000a_COSTA_x000a_CANAL_x000a_ AF_x000a_ TOTAL" dataDxfId="54">
      <calculatedColumnFormula>PAGE_2!AG7</calculatedColumnFormula>
    </tableColumn>
    <tableColumn id="7" xr3:uid="{B2E225DE-0BB6-4F44-92A8-1F5ECDEB74CF}" name="CONTRA_x000a_COSTA_x000a_CANAL_x000a_PW OF AF TOTAL" dataDxfId="53">
      <calculatedColumnFormula>PAGE_2!AH7</calculatedColumnFormula>
    </tableColumn>
    <tableColumn id="8" xr3:uid="{5B792E00-EED9-42D0-BBCE-B4190533D834}" name="COW_x000a_CREEK_x000a_UNIT_x000a_AF _x000a_TOTAL" dataDxfId="52">
      <calculatedColumnFormula>PAGE_2!AJ7</calculatedColumnFormula>
    </tableColumn>
    <tableColumn id="9" xr3:uid="{424EC271-FDB6-48D4-81EA-AD304C91E5F6}" name="COW_x000a_CREEK_x000a_UNIT _x000a_PW OF AF_x000a_TOTAL" dataDxfId="51">
      <calculatedColumnFormula>PAGE_2!AK7</calculatedColumnFormula>
    </tableColumn>
    <tableColumn id="10" xr3:uid="{0DE82C9D-145F-4451-8EA0-9AFAB17FEB41}" name="CROSS_x000a_VALLEY_x000a_CANAL _x000a_AF _x000a_TOTAL" dataDxfId="50">
      <calculatedColumnFormula>PAGE_3!I7</calculatedColumnFormula>
    </tableColumn>
    <tableColumn id="11" xr3:uid="{BA98D91E-EE1B-4652-AAF9-BC9C0E9CEA0A}" name="CROSS_x000a_VALLEY_x000a_CANAL_x000a_PW OF AF_x000a_TOTAL" dataDxfId="49">
      <calculatedColumnFormula>PAGE_3!J7</calculatedColumnFormula>
    </tableColumn>
    <tableColumn id="12" xr3:uid="{648C7D96-8770-4631-899E-C0C83EB58318}" name="DETAL_x000a_MENDOTA_x000a_CANAL_x000a_AF_x000a_TOTAL" dataDxfId="48">
      <calculatedColumnFormula>PAGE_4!D7</calculatedColumnFormula>
    </tableColumn>
    <tableColumn id="13" xr3:uid="{6BB9FAE4-111C-461B-A6F5-2A4EBD4E6F49}" name="DETAL_x000a_MENDOTA_x000a_CANAL_x000a_PW OF AF _x000a_TOTAL" dataDxfId="47">
      <calculatedColumnFormula>PAGE_4!E7</calculatedColumnFormula>
    </tableColumn>
    <tableColumn id="14" xr3:uid="{679F0E73-8B6A-43DF-A853-8E5EAA5160AA}" name="FOLSOM_x000a_D&amp;R _x000a_AF _x000a_TOTAL" dataDxfId="46">
      <calculatedColumnFormula>PAGE_4!R7</calculatedColumnFormula>
    </tableColumn>
    <tableColumn id="15" xr3:uid="{20BF8DCB-75DA-49D4-A9BD-3CC07B8A3360}" name="FOLSOM_x000a_D&amp;R_x000a_PW OF AF_x000a_TOTAL" dataDxfId="45">
      <calculatedColumnFormula>PAGE_4!S7</calculatedColumnFormula>
    </tableColumn>
    <tableColumn id="16" xr3:uid="{FFF58C35-98BA-4E9F-84AD-8EA997AA9EBD}" name="FOLSOM_x000a_SOUTH_x000a_CANAL_x000a_AF_x000a_ TOTAL" dataDxfId="44">
      <calculatedColumnFormula>PAGE_5!H7</calculatedColumnFormula>
    </tableColumn>
    <tableColumn id="17" xr3:uid="{291614A4-0DC0-4DED-BA9F-A1672392A96C}" name="FOLSOM_x000a_SOUTH_x000a_CANAL_x000a_PW OF AF_x000a_TOTAL" dataDxfId="43">
      <calculatedColumnFormula>PAGE_5!I7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9160AE-C201-4B55-9B07-157776F1D5F8}" name="Table3" displayName="Table3" ref="A6:Z59" totalsRowShown="0" headerRowDxfId="13" dataDxfId="14">
  <autoFilter ref="A6:Z59" xr:uid="{E79160AE-C201-4B55-9B07-157776F1D5F8}"/>
  <tableColumns count="26">
    <tableColumn id="1" xr3:uid="{1137CC6B-2CE4-4B15-B6E6-DA59183ABF35}" name="YEAR" dataDxfId="40"/>
    <tableColumn id="2" xr3:uid="{69A7E7DF-D429-44BC-86A9-1CFD7F8220BC}" name="FRIANT_x000a_DAM_x000a_AF_x000a_TOTAL" dataDxfId="39"/>
    <tableColumn id="3" xr3:uid="{BFCAB24C-E63B-4288-9F29-31AEC76B0254}" name="FRIANT_x000a_DAM_x000a_PW OF AF_x000a_TOTAL" dataDxfId="38"/>
    <tableColumn id="4" xr3:uid="{143A252A-62B5-4EF8-AB5C-8CF99593EFEC}" name="FRIANT_x000a_KERN_x000a_CANAL _x000a_AF_x000a_TOTAL" dataDxfId="37"/>
    <tableColumn id="5" xr3:uid="{CC23B858-96DB-4325-81B9-1F07BA99D150}" name="FRIANT_x000a_KERN_x000a_CANAL_x000a_PW OF AF_x000a_ TOTAL" dataDxfId="36"/>
    <tableColumn id="6" xr3:uid="{146EC345-FB71-4A18-86F7-4EBF141A1A8A}" name="NEW_x000a_ MELONES_x000a_D &amp; R_x000a_AF_x000a_TOTAL" dataDxfId="35"/>
    <tableColumn id="7" xr3:uid="{9B4B4BA4-EFEA-4188-ABF9-C3A07459C3D7}" name="NEW _x000a_MELONES_x000a_D&amp;R_x000a_PW OF AF _x000a_TOTAL" dataDxfId="34"/>
    <tableColumn id="8" xr3:uid="{43CCE236-094F-4DE6-B8AE-DA64C41F521C}" name="SACRAMENTO _x000a_RIVER_x000a_AF_x000a_TOTAL" dataDxfId="33"/>
    <tableColumn id="9" xr3:uid="{D14171AE-BFE5-4C73-8E32-BE4BABBC7AB4}" name="Column1" dataDxfId="32"/>
    <tableColumn id="10" xr3:uid="{9DF2BBDF-BBB1-492F-BD12-5D2FE69EF8EB}" name="SACRAMENTO_x000a_RIVER_x000a_PW OF AF_x000a_TOTAL" dataDxfId="31"/>
    <tableColumn id="11" xr3:uid="{F0DBA7B2-48C7-4E60-BB0A-FEE04DB9E8F3}" name="Column2" dataDxfId="30"/>
    <tableColumn id="12" xr3:uid="{1A776C3A-F2F9-4A91-8CE7-DFD153F66A36}" name="SAN FELIPE_x000a_UNIT_x000a_(IN BASIN)_x000a_AF _x000a_TOTAL" dataDxfId="29"/>
    <tableColumn id="13" xr3:uid="{FC54CCD7-3AAA-4791-AB45-E0B8EB49A43F}" name="Column3" dataDxfId="28"/>
    <tableColumn id="14" xr3:uid="{01BAA9A1-1A7B-494F-BE2C-0BB306792642}" name="SAN FELIPE_x000a_UNIT_x000a_(IN BASIN)_x000a_PW OF AF_x000a_ TOTAL" dataDxfId="27"/>
    <tableColumn id="15" xr3:uid="{2AF5D292-4DCA-405B-8EC5-99F7B478A6DB}" name="Column4" dataDxfId="26"/>
    <tableColumn id="16" xr3:uid="{7F271D31-E51C-4F2A-95AF-A7B69236EA85}" name="SAN_x000a_LUIS_x000a_CANAL_x000a_FRESNO_x000a_ AF_x000a_TOTAL" dataDxfId="25"/>
    <tableColumn id="18" xr3:uid="{31070768-2E73-433E-AA93-BD408CDE16F8}" name="SAN_x000a_LUIS_x000a_CANAL_x000a_FRESNO_x000a_PW OF AF _x000a_TOTAL" dataDxfId="24"/>
    <tableColumn id="19" xr3:uid="{E1835F0C-2F6B-49A1-857A-40BD26848CC6}" name="Column6" dataDxfId="23"/>
    <tableColumn id="20" xr3:uid="{357CB20A-7753-43C3-9193-C9D6EC8AB367}" name="SAN_x000a_LUIS_x000a_CANAL_x000a_TRACY_x000a_AF_x000a_TOTAL" dataDxfId="22"/>
    <tableColumn id="21" xr3:uid="{FFCF6C40-3773-48FA-B69C-3A1DB7CDD7E4}" name="Column7" dataDxfId="21"/>
    <tableColumn id="22" xr3:uid="{A0886A53-BFAE-4C24-BAB6-AF53A3B86F9B}" name="SAN_x000a_LUIS _x000a_CANAL_x000a_TRACY_x000a_PW OF AF_x000a_TOTAL" dataDxfId="20"/>
    <tableColumn id="23" xr3:uid="{BCF2E6A7-C2B6-40E6-973C-97A4273E5ECF}" name="Column8" dataDxfId="19"/>
    <tableColumn id="24" xr3:uid="{53778AB2-7C75-400C-B60B-9AAC83D1E9CF}" name="Column9" dataDxfId="18"/>
    <tableColumn id="25" xr3:uid="{8FEF13C4-0845-4012-9EC8-D9E896CB67E5}" name="SHASTA_x000a_D&amp;R_x000a__x000a__x000a_AF_x000a_TOTAL" dataDxfId="17"/>
    <tableColumn id="26" xr3:uid="{1331DA50-9003-466F-BE40-8C5D1A52F1FC}" name="Column10" dataDxfId="16"/>
    <tableColumn id="27" xr3:uid="{0D6EA58D-9A80-4A31-A411-52BCA9392216}" name="SHASTA_x000a_D&amp;R_x000a__x000a__x000a_PW OF AF_x000a_TOTAL" dataDxfId="1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9C0733-8F36-4D72-880C-6A27277DD452}" name="Table2" displayName="Table2" ref="A6:K59" totalsRowShown="0" headerRowDxfId="0" dataDxfId="1">
  <autoFilter ref="A6:K59" xr:uid="{829C0733-8F36-4D72-880C-6A27277DD452}"/>
  <tableColumns count="11">
    <tableColumn id="1" xr3:uid="{F0AF888C-A5A2-4020-95B9-EF7722C5CF22}" name="YEAR" dataDxfId="12"/>
    <tableColumn id="2" xr3:uid="{69B21FFF-C81A-466F-9A24-22E75ADE5A86}" name="SPRING_x000a_CREEK_x000a_CONDUIT_x000a_AF _x000a_TOTAL" dataDxfId="11">
      <calculatedColumnFormula>PAGE_11!H7</calculatedColumnFormula>
    </tableColumn>
    <tableColumn id="3" xr3:uid="{F72B009E-2877-4605-A91A-2FF1B3832E88}" name="SPRING_x000a_CREEK_x000a_CONDUIT_x000a_ PW OF AF_x000a_ TOTAL" dataDxfId="10"/>
    <tableColumn id="4" xr3:uid="{B85A8989-5D0F-4C1B-96B3-18BB57875C89}" name="TEHAMA-COLUSA _x000a_CANAL_x000a_ AF_x000a_ TOTAL" dataDxfId="9">
      <calculatedColumnFormula>PAGE_11!N7</calculatedColumnFormula>
    </tableColumn>
    <tableColumn id="5" xr3:uid="{7C1876E9-8209-47C5-AC94-A466C4EDA30E}" name="TEHAMA-COLUSA _x000a_CANAL_x000a_ PW OF AF _x000a_TOTAL" dataDxfId="8"/>
    <tableColumn id="6" xr3:uid="{A7790AE1-C2D7-488C-B751-CB9A4F217BCB}" name="TOYON _x000a_PIPELINE_x000a_AF _x000a_TOTAL" dataDxfId="7">
      <calculatedColumnFormula>PAGE_12!H7</calculatedColumnFormula>
    </tableColumn>
    <tableColumn id="7" xr3:uid="{78A8ECE7-3756-4731-9EFF-66E184FBCEA8}" name="TOYON PIPELINE_x000a_PW OF AF _x000a_TOTAL" dataDxfId="6">
      <calculatedColumnFormula>PAGE_12!I7</calculatedColumnFormula>
    </tableColumn>
    <tableColumn id="8" xr3:uid="{A6E41179-EDE0-48ED-AC97-DFE72B3A8D39}" name="TOTAL_x000a_ W/O_x000a_EXCHANGE_x000a_AF_x000a_TOTAL_x000a_TOTAL" dataDxfId="5">
      <calculatedColumnFormula>PAGE_13!B7+PAGE_13!D7+PAGE_13!F7+PAGE_13!H7+PAGE_13!J7+PAGE_13!L7+PAGE_13!N7+PAGE_13!P7+PAGE_14!B7+PAGE_14!D7+PAGE_14!F7+PAGE_14!H7+PAGE_14!L7+PAGE_14!P7+PAGE_14!S7+PAGE_14!X7+PAGE_15!B7+PAGE_15!D7+PAGE_15!F7</calculatedColumnFormula>
    </tableColumn>
    <tableColumn id="9" xr3:uid="{62DE6127-D2CF-4FD5-A428-D483F75EED6F}" name="TOTAL _x000a_W/O_x000a_EXCHANGE_x000a_PW OF AF _x000a_TOTAL" dataDxfId="4"/>
    <tableColumn id="10" xr3:uid="{D8F6D47E-7C92-43A5-9435-8FDDA254E838}" name="DELTA-MENDOTA_x000a_EXCHANGE_x000a_WATER_x000a_TOTAL" dataDxfId="3">
      <calculatedColumnFormula>PAGE_12!J7</calculatedColumnFormula>
    </tableColumn>
    <tableColumn id="11" xr3:uid="{82D6AF90-EB9E-4F7F-935A-C61468DAA43F}" name="TOTAL_x000a_WITH_x000a_EXCHANGE_x000a_AF_x000a_TOTAL" dataDxfId="2">
      <calculatedColumnFormula>H7+J7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D90806-9CBF-4F9C-8D97-FC3229A1E446}" name="Table1" displayName="Table1" ref="A6:AK59" totalsRowShown="0" headerRowDxfId="205" dataDxfId="206">
  <autoFilter ref="A6:AK59" xr:uid="{23D90806-9CBF-4F9C-8D97-FC3229A1E446}"/>
  <tableColumns count="37">
    <tableColumn id="1" xr3:uid="{E8A5873E-C689-4840-A720-1D494F20BAB0}" name="YEAR" dataDxfId="243"/>
    <tableColumn id="2" xr3:uid="{8AFFC5BC-AA5E-4638-BE92-B1942BA63A06}" name="BLACK BUTTE D&amp;R (BBD&amp;R) - BBD&amp;R_x000a_COUNTY OF_x000a_ COLUSA_x000a_AF" dataDxfId="242"/>
    <tableColumn id="3" xr3:uid="{DEC7268F-E42F-4BFB-AF4E-8F7FEB1F3C87}" name="BLACK BUTTE D&amp;R (BBD&amp;R) - BBD&amp;R_x000a_COUNTY OF_x000a_COLUSA_x000a_PW OF AF" dataDxfId="241"/>
    <tableColumn id="4" xr3:uid="{C04ADDD5-5DF3-468E-A581-5238231873EA}" name="Column1" dataDxfId="240"/>
    <tableColumn id="5" xr3:uid="{33B412D6-4D46-48E3-B654-664AFEE21FEF}" name="BLACK BUTTE D&amp;R (BBD&amp;R) - BBD&amp;R_x000a_ELK CREEK _x000a_CSD_x000a_AF" dataDxfId="239"/>
    <tableColumn id="6" xr3:uid="{648C2DFB-ECD3-485D-8CFE-DADABE7EBDD5}" name="BLACK BUTTE D&amp;R (BBD&amp;R) - BBD&amp;R_x000a_ELK CREEK _x000a_CSD_x000a_PW OF AF" dataDxfId="238"/>
    <tableColumn id="7" xr3:uid="{B80D6CF8-FB15-489A-B5D8-412FF403CE29}" name="Column2" dataDxfId="237"/>
    <tableColumn id="8" xr3:uid="{C2D2B34C-0AB9-4CD9-86D4-89F09C520A28}" name="BLACK BUTTE D&amp;R (BBD&amp;R) - BBD&amp;R _x000a_US FOREST_x000a_SVC_x000a_AF" dataDxfId="236"/>
    <tableColumn id="9" xr3:uid="{36C6EB61-7683-4F9B-AD1A-B8F23DAF6D67}" name="BLACK BUTTE D&amp;R (BBD&amp;R) - BBD&amp;R _x000a_US FOREST_x000a_SVC_x000a_PW OF AF" dataDxfId="235"/>
    <tableColumn id="10" xr3:uid="{34D044FD-9ABC-473D-9076-938FE46F3171}" name="Column3" dataDxfId="234"/>
    <tableColumn id="11" xr3:uid="{4335EDBE-3F05-4853-9E8D-78E05B5FFC4C}" name="BLACK BUTTE D&amp;R (BBD&amp;R) - BBD&amp;R_x000a_WHITNEY CONST._x000a_AF" dataDxfId="233"/>
    <tableColumn id="12" xr3:uid="{FE763E27-DC67-47BE-8700-F13DA7979853}" name="BLACK BUTTE D&amp;R (BBD&amp;R) - BBD&amp;R_x000a_WHITNEY CONST._x000a_PW OF AF" dataDxfId="232"/>
    <tableColumn id="13" xr3:uid="{04DC0732-0AEC-4243-819D-A1524A13BD5E}" name="Column4" dataDxfId="231"/>
    <tableColumn id="14" xr3:uid="{C1C7D563-53F3-488C-AA91-942588945DBB}" name="BLACK BUTTE D&amp;R (BBD&amp;R) - BBD&amp;R_x000a_TOTAL_x000a_AF" dataDxfId="230"/>
    <tableColumn id="15" xr3:uid="{391C6241-FBFB-429D-9871-FEAAE2EB92F5}" name="BLACK BUTTE D&amp;R (BBD&amp;R) - BBD&amp;R_x000a_TOTAL_x000a_PW OF AF" dataDxfId="229"/>
    <tableColumn id="16" xr3:uid="{242C04A5-04A9-4D26-B85D-E2FDDAC2F903}" name="Column5" dataDxfId="228"/>
    <tableColumn id="17" xr3:uid="{066B3C85-C51D-4A69-870E-FB0ADEA6F2E8}" name="CLEAR CREEK UNIT (ClCU) - ClCU _x000a_CLEAR CREEK_x000a_CSD _x000a_AF" dataDxfId="227"/>
    <tableColumn id="18" xr3:uid="{E8D8D7C7-AFFA-4D12-9411-D57FE9D51A0C}" name="CLEAR CREEK UNIT (ClCU) - ClCU_x000a_CLEAR CREEK_x000a_CSD_x000a_PW OF AF" dataDxfId="226"/>
    <tableColumn id="19" xr3:uid="{DC3D44E3-AFF1-45ED-8731-2B4A31F4F8E0}" name="Column6" dataDxfId="225"/>
    <tableColumn id="20" xr3:uid="{666D0120-9417-4767-BF0D-0F753D94B36E}" name="Column7" dataDxfId="224"/>
    <tableColumn id="21" xr3:uid="{59020560-0CB5-4B7B-AAAB-850A29ED9BBF}" name="SCHEDULE A" dataDxfId="223"/>
    <tableColumn id="22" xr3:uid="{4B52D211-36BD-4047-BB70-FC833E84FE90}" name="Column8" dataDxfId="222"/>
    <tableColumn id="23" xr3:uid="{78EA8A6A-1C8F-41CD-AB12-AC5BF2726FA8}" name="Column9" dataDxfId="221"/>
    <tableColumn id="24" xr3:uid="{7D3706C9-B0DC-42A5-B099-8FD87563D968}" name="Column10" dataDxfId="220"/>
    <tableColumn id="25" xr3:uid="{F0BC9E85-9A25-4006-A121-E0A2F8DA1152}" name="Column11" dataDxfId="219"/>
    <tableColumn id="26" xr3:uid="{60B0FD7B-C0A7-4F55-9692-31D3CEEFE303}" name="SCHEDULE B" dataDxfId="218"/>
    <tableColumn id="27" xr3:uid="{5E1921B4-1EA0-4E71-B304-3B2855B33493}" name="Column12" dataDxfId="217"/>
    <tableColumn id="28" xr3:uid="{17EFA7E2-0E7B-43CF-A56C-F78E4BD17C71}" name="Column13" dataDxfId="216"/>
    <tableColumn id="29" xr3:uid="{9B7A7CA4-C3D1-48D4-91A1-2BDBEE2B40BB}" name="Column14" dataDxfId="215"/>
    <tableColumn id="30" xr3:uid="{0408FE6D-B335-483D-87D7-263542B0B169}" name="Column15" dataDxfId="214"/>
    <tableColumn id="31" xr3:uid="{9586D642-8F52-488D-8D46-66129470ED9A}" name="SCHEDULE C" dataDxfId="213"/>
    <tableColumn id="32" xr3:uid="{DAF079FC-1A44-405C-B2C4-01C5C60A563E}" name="Column16" dataDxfId="212"/>
    <tableColumn id="33" xr3:uid="{DA878858-0DC9-4610-A5AC-57BB32BC3A82}" name="CCC_x000a_CONTRA COSTA_x000a_WD_x000a_AF" dataDxfId="211"/>
    <tableColumn id="34" xr3:uid="{67E8F2F5-E30E-4B05-91C1-7CFDF24985D6}" name="CCC _x000a_CONTRA COSTA_x000a_WD_x000a_PW OF AF" dataDxfId="210"/>
    <tableColumn id="35" xr3:uid="{41D35230-E201-455B-8049-615CA6DDD4BD}" name="Column17" dataDxfId="209"/>
    <tableColumn id="36" xr3:uid="{90522CA0-C462-4AA2-95EA-BA81D2ADAB16}" name="COW  CREEK UNIT (CoCU) - CoCU_x000a_BELLA VISTA _x000a_WD_x000a_AF" dataDxfId="208"/>
    <tableColumn id="37" xr3:uid="{399A6F86-BE44-4D85-B2A4-190B3CC577D7}" name="COW  CREEK UNIT (CoCU) - CoCU_x000a_BELLA VISTA_x000a_WD _x000a_PW OF AF" dataDxfId="207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329120-A0C9-4E0F-B234-CA3D5DC2886A}" name="Table12" displayName="Table12" ref="A6:V59" totalsRowShown="0" headerRowDxfId="181" dataDxfId="182">
  <autoFilter ref="A6:V59" xr:uid="{2E329120-A0C9-4E0F-B234-CA3D5DC2886A}"/>
  <tableColumns count="22">
    <tableColumn id="1" xr3:uid="{031CCA5E-14B9-46B0-BCA5-5CD7AE916AF1}" name="YEAR" dataDxfId="204"/>
    <tableColumn id="2" xr3:uid="{7A84D914-9017-40B6-B74A-E178E6C3347C}" name="CROSS VALLEY CANAL (CVC) - CVC_x000a_COUNTY OF_x000a_FRESNOAF" dataDxfId="203"/>
    <tableColumn id="3" xr3:uid="{38D57F74-6865-4552-BC4D-F196DFAAC973}" name="CROSS VALLEY CANAL (CVC) - CVC _x000a_COUNTY OF_x000a_FRESNO _x000a_PW OF AF" dataDxfId="202"/>
    <tableColumn id="4" xr3:uid="{92D0694D-BF7B-4D02-81B0-FDBC71ABD36E}" name="Column1" dataDxfId="201"/>
    <tableColumn id="5" xr3:uid="{A6083F54-E65F-419A-8F07-F8C2F845A892}" name="CROSS VALLEY CANAL (CVC) - CVC_x000a_COUNTY OF_x000a_ TULARE_x000a_AF" dataDxfId="200"/>
    <tableColumn id="6" xr3:uid="{40309753-865A-4976-B5D9-940B66AA5EB2}" name="Column2" dataDxfId="199"/>
    <tableColumn id="7" xr3:uid="{DFCCBA4D-8A7B-4985-A029-1115B4A90E95}" name="CROSS VALLEY CANAL (CVC) - CVC_x000a_COUNTY OF_x000a_TULARE _x000a_PW OF AF" dataDxfId="198"/>
    <tableColumn id="8" xr3:uid="{FF7FE9C1-22FA-4CA9-8B1A-2CFB9679FCF7}" name="Column3" dataDxfId="197"/>
    <tableColumn id="9" xr3:uid="{64800B8B-8296-4471-B290-9F61265059F6}" name="CROSS VALLEY CANAL (CVC) - CVC_x000a_TOTAL _x000a_AF" dataDxfId="196"/>
    <tableColumn id="10" xr3:uid="{D0DF2594-D22F-4FAF-872C-C477EF471A08}" name="CROSS VALLEY CANAL (CVC) - CVC_x000a_TOTAL _x000a_PW OF AF" dataDxfId="195"/>
    <tableColumn id="11" xr3:uid="{6A004A71-2E41-4291-AFCE-D86CEABA8E92}" name="Column4" dataDxfId="194"/>
    <tableColumn id="12" xr3:uid="{C2534D4C-6609-469E-8E06-25FDE710572A}" name="DELTA-MENDOTA CANAL (DMC) - DMC_x000a_BYRON-BETHANY_x000a_ID_x000a_AF" dataDxfId="193"/>
    <tableColumn id="13" xr3:uid="{103D69B8-8D77-4C4A-8BAA-95A2EB473A84}" name="DELTA-MENDOTA CANAL (DMC) - DMC_x000a_BYRON-BETHANY_x000a_ID_x000a_ PW OF AF" dataDxfId="192"/>
    <tableColumn id="14" xr3:uid="{1F8435D5-E4F8-46F7-9C04-016008A3ACE8}" name="DELTA-MENDOTA CANAL (DMC) - DMC_x000a_CITY OF_x000a_TRACY_x000a_ AF" dataDxfId="191"/>
    <tableColumn id="15" xr3:uid="{FBE4DF27-6504-4365-9BCA-2118EC17D601}" name="Column5" dataDxfId="190"/>
    <tableColumn id="16" xr3:uid="{D428A5A9-3910-466D-8700-D70220A54753}" name="DELTA-MENDOTA CANAL (DMC) - DMC _x000a_CITY OF_x000a_TRACY _x000a_PW OF AF" dataDxfId="189"/>
    <tableColumn id="17" xr3:uid="{77221BD4-590F-42CF-8AD0-F05B2078B5A8}" name="DELTA-MENDOTA CANAL (DMC) - DMC_x000a_DEL PUERTO_x000a_WD _x000a_AF" dataDxfId="188"/>
    <tableColumn id="18" xr3:uid="{173B6B5A-AEB7-413A-BA31-267E178C2435}" name="DELTA-MENDOTA CANAL (DMC) - DMC_x000a_DEL PUERTO_x000a_WD_x000a_PW OF AF" dataDxfId="187"/>
    <tableColumn id="19" xr3:uid="{824DBA46-6C55-427A-A246-66AE2B365FC5}" name="DELTA-MENDOTA CANAL (DMC) - DMC _x000a_DEPT. OF_x000a_VETERANS AFFAIRS_x000a_ AF" dataDxfId="186"/>
    <tableColumn id="20" xr3:uid="{501ACAD1-0E18-463E-A52D-488CF421F7DE}" name="DELTA-MENDOTA CANAL (DMC) - DMC _x000a_DEPT. OF_x000a_VETERANS AFFAIRS_x000a_ PW OF AF" dataDxfId="185"/>
    <tableColumn id="21" xr3:uid="{DA6873B4-1A77-4035-A616-000FB1A2E9CF}" name="DELTA-MENDOTA CANAL (DMC) - DMC_x000a_PANOCHE_x000a_WD_x000a_ AF" dataDxfId="184"/>
    <tableColumn id="22" xr3:uid="{6F284B68-1B75-4AF6-808A-DED801FD6E7B}" name="DELTA-MENDOTA CANAL (DMC) - DMC_x000a_PANOCHE_x000a_WD _x000a_PW OF AF" dataDxfId="18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264E04E-246E-4D7B-B2C5-70A51260B679}" name="Table11" displayName="Table11" ref="A6:S59" totalsRowShown="0" headerRowDxfId="160" dataDxfId="161" headerRowBorderDxfId="249">
  <autoFilter ref="A6:S59" xr:uid="{D264E04E-246E-4D7B-B2C5-70A51260B679}"/>
  <tableColumns count="19">
    <tableColumn id="1" xr3:uid="{DDA782AC-0CEF-49C2-AA9F-E42C97FF65E4}" name="YEAR" dataDxfId="180"/>
    <tableColumn id="2" xr3:uid="{31E7EA62-5883-48CB-B7A9-8068F0E426BD}" name="DELTA-MENDOTA CANAL (DMC) - DMC _x000a_SAN LUIS_x000a_WD_x000a_AF" dataDxfId="179"/>
    <tableColumn id="3" xr3:uid="{B94E174F-970C-4480-8AD3-D93871202E93}" name="DELTA-MENDOTA CANAL (DMC) - DMC _x000a_SAN LUIS_x000a_WD_x000a_PW OF AF" dataDxfId="178"/>
    <tableColumn id="4" xr3:uid="{A663DEF8-6B41-4149-977F-7086E47FC11F}" name="DELTA-MENDOTA CANAL (DMC) - DMC_x000a_TOTAL_x000a_AF" dataDxfId="177"/>
    <tableColumn id="5" xr3:uid="{43371E98-A965-4742-8CA6-5435CA4B3F62}" name="DELTA-MENDOTA CANAL (DMC) - DMC_x000a_TOTAL _x000a_PW OF AF" dataDxfId="176"/>
    <tableColumn id="6" xr3:uid="{DA28B913-D067-442A-AF8C-1EAFAFA847A0}" name="FOLSOM  D&amp;R (FD&amp;R) - FD&amp;R_x000a_CITY OF_x000a_FOLSOM_x000a_AF" dataDxfId="175"/>
    <tableColumn id="7" xr3:uid="{2C0CABFD-7143-4C3A-AD7D-68BDF8092A1C}" name="FOLSOM  D&amp;R (FD&amp;R) - FD&amp;R_x000a_CITY OF_x000a_FOLSOM_x000a_PW OF AF" dataDxfId="174"/>
    <tableColumn id="8" xr3:uid="{DBCCB1E2-3E77-41E3-A070-FD57C86A62A4}" name="FOLSOM  D&amp;R (FD&amp;R) - FD&amp;R_x000a_CITY OF_x000a_ROSEVILLE _x000a_AF" dataDxfId="173"/>
    <tableColumn id="9" xr3:uid="{402E6592-C469-459E-B40E-726C5EBABD87}" name="FOLSOM  D&amp;R (FD&amp;R) - FD&amp;R _x000a_CITY OF_x000a_ROSEVILLE_x000a_PW OF AF" dataDxfId="172"/>
    <tableColumn id="10" xr3:uid="{8E6F4163-A285-4407-85F4-947015E236E8}" name="FOLSOM  D&amp;R (FD&amp;R) - FD&amp;R _x000a_EL DORADO_x000a_ID_x000a_AF" dataDxfId="171"/>
    <tableColumn id="11" xr3:uid="{C7E64377-9B62-4D5B-B30B-12019549C33B}" name="FOLSOM  D&amp;R (FD&amp;R) - FD&amp;R _x000a_EL DORADO_x000a_ID_x000a_PW OF AF" dataDxfId="170"/>
    <tableColumn id="12" xr3:uid="{DAC3C142-312F-4E88-B77F-40CCED2C72F1}" name="FOLSOM  D&amp;R (FD&amp;R) - FD&amp;R _x000a_PLACER COUNTY_x000a_WA_x000a_AF" dataDxfId="169"/>
    <tableColumn id="13" xr3:uid="{B0CC85EE-21DD-4818-8B33-90D4C6F0E6E5}" name="FOLSOM  D&amp;R (FD&amp;R) - FD&amp;R_x000a_PLACER COUNTY_x000a_WA _x000a_PW OF AF" dataDxfId="168"/>
    <tableColumn id="14" xr3:uid="{8FAE85C5-39F6-4B06-9A1A-68C28B1C4755}" name="FOLSOM  D&amp;R (FD&amp;R) - FD&amp;R_x000a_SACRAMENTO_x000a_COUNTY_x000a_WA_x000a_AF" dataDxfId="167"/>
    <tableColumn id="15" xr3:uid="{7493F7B0-EEB3-4B9E-AE1E-3B5CD121C703}" name="FOLSOM  D&amp;R (FD&amp;R) - FD&amp;R_x000a_SACRAMENTO_x000a_COUNTY_x000a_WA_x000a_PW OF AF" dataDxfId="166"/>
    <tableColumn id="16" xr3:uid="{4EC0FEDD-6287-427E-972F-B3F005970C8D}" name="FOLSOM  D&amp;R (FD&amp;R) - FD&amp;R_x000a_SAN JUAN_x000a_WD_x000a__x000a_AF" dataDxfId="165"/>
    <tableColumn id="17" xr3:uid="{92FA4FED-C1E0-4463-90D1-E76E1253C829}" name="FOLSOM  D&amp;R (FD&amp;R) - FD&amp;R_x000a_SAN JUAN_x000a_WD_x000a__x000a_PW OF AF" dataDxfId="164"/>
    <tableColumn id="18" xr3:uid="{53F42A68-451B-4648-BB2A-F3188310FF88}" name="FOLSOM  D&amp;R (FD&amp;R) - FD&amp;R_x000a_TOTAL_x000a__x000a__x000a_AF" dataDxfId="163"/>
    <tableColumn id="19" xr3:uid="{1EADD402-09B8-4A15-A417-3BFB06952EDA}" name="FOLSOM  D&amp;R (FD&amp;R) - FD&amp;R_x000a_TOTAL_x000a__x000a__x000a_PW OF AF" dataDxfId="162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4AA4CAC-4B9B-4729-970C-C2FE6E60CCCB}" name="Table10" displayName="Table10" ref="A6:O59" totalsRowShown="0" headerRowDxfId="143" dataDxfId="144">
  <autoFilter ref="A6:O59" xr:uid="{64AA4CAC-4B9B-4729-970C-C2FE6E60CCCB}"/>
  <tableColumns count="15">
    <tableColumn id="1" xr3:uid="{5F5CAA40-A4F5-4F90-8F91-33973F86A2A6}" name="YEAR" dataDxfId="159"/>
    <tableColumn id="2" xr3:uid="{68DB1903-DB04-4C59-A07D-9A02F59B4060}" name="FOLSOM-SOUTH CANAL (FSC) - FSC_x000a_EAST BAY _x000a_MUD_x000a_AF" dataDxfId="158"/>
    <tableColumn id="3" xr3:uid="{EF8E4FB7-A66E-477B-A57D-1F10181B1D6A}" name="FOLSOM-SOUTH CANAL (FSC) - FSC _x000a_EAST BAY_x000a_MUD _x000a_PW OF AF" dataDxfId="157"/>
    <tableColumn id="4" xr3:uid="{EB2CC5A6-9EA1-44F9-A955-009123314C2D}" name="FOLSOM-SOUTH CANAL (FSC) - FSC_x000a_SACRAMENTO_x000a_CTY WA FSC_x000a_AF" dataDxfId="156"/>
    <tableColumn id="5" xr3:uid="{8539CDA7-B9A2-4B47-9BF9-1DA4DA9A25D1}" name="FOLSOM-SOUTH CANAL (FSC) - FSC_x000a_SACRAMENTO_x000a_CTY WA FSC_x000a_PW OF AF" dataDxfId="155"/>
    <tableColumn id="6" xr3:uid="{A49DDBCD-1A50-43BE-8C3E-099FCB46BCC4}" name="FOLSOM-SOUTH CANAL (FSC) - FSC_x000a_SMUD   _x000a_1/_x000a_AF" dataDxfId="154"/>
    <tableColumn id="7" xr3:uid="{AFB76B45-2021-4F47-858D-5711FFA6A781}" name="FOLSOM-SOUTH CANAL (FSC) - FSC _x000a_SMUD   _x000a_1/_x000a_PW OF AF" dataDxfId="153"/>
    <tableColumn id="8" xr3:uid="{40BBE27E-D6EA-4473-B613-C88E2E718132}" name="FOLSOM-SOUTH CANAL (FSC) - FSC_x000a_TOTAL _x000a_AF" dataDxfId="152"/>
    <tableColumn id="9" xr3:uid="{F57CD1C2-609E-40FC-8B67-D8ABB1DF9B2D}" name="FOLSOM-SOUTH CANAL (FSC) - FSC_x000a_TOTAL_x000a_PW OF AF" dataDxfId="151"/>
    <tableColumn id="10" xr3:uid="{24EC172A-CF6C-47BA-9252-B608614DBB73}" name="FRIANT DAM (FD) - FD _x000a_COUNTY OF MADERA_x000a_ AF" dataDxfId="150"/>
    <tableColumn id="11" xr3:uid="{E6F94A60-3D52-4753-B3D5-40EBB62AE83B}" name="FRIANT DAM (FD) - FD_x000a_COUNTY OF_x000a_MADERA _x000a_PW OF AF" dataDxfId="149"/>
    <tableColumn id="12" xr3:uid="{E01CE958-F28F-45CE-A3F1-D18E408DEF21}" name="FRIANT DAM (FD) - FD_x000a_FRESNO_x000a_CITY WW_x000a_ #18_x000a_AF" dataDxfId="148"/>
    <tableColumn id="13" xr3:uid="{0A34D456-B431-4194-9405-D0801D8FBDA5}" name="FRIANT DAM (FD) - FD_x000a_FRESNO_x000a_CITY WW _x000a_#18_x000a_PW OF AF" dataDxfId="147"/>
    <tableColumn id="14" xr3:uid="{1BD841AD-3D02-438F-993F-46278BBBD8AF}" name="FRIANT DAM (FD) - FD_x000a_TOTAL_x000a_AF" dataDxfId="146"/>
    <tableColumn id="15" xr3:uid="{1291929A-F0B6-46D8-853B-47E3ACF72FAD}" name="FRIANT DAM (FD) - FD_x000a_TOTAL  _x000a_PW OF AF" dataDxfId="145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6B4B8AC-CF49-463A-806C-59A070487FDE}" name="Table9" displayName="Table9" ref="A8:M61" totalsRowShown="0" headerRowDxfId="128" dataDxfId="129">
  <autoFilter ref="A8:M61" xr:uid="{36B4B8AC-CF49-463A-806C-59A070487FDE}"/>
  <tableColumns count="13">
    <tableColumn id="1" xr3:uid="{3D9698B1-5D28-4656-9469-123A933FC471}" name="YEAR" dataDxfId="142"/>
    <tableColumn id="2" xr3:uid="{32B818D8-10A0-4AC9-BAB2-FD73D7F32B8A}" name="FKC _x000a_ARVIN-EDISON_x000a_WSD _x000a_ AF" dataDxfId="141"/>
    <tableColumn id="3" xr3:uid="{3F8ABFC6-F7D7-4CC8-83D9-0E87D2A1E9D8}" name="FKC_x000a_ARVIN-EDISON_x000a_WSD_x000a_PW OF AF" dataDxfId="140"/>
    <tableColumn id="4" xr3:uid="{5B8EC3AE-BAF1-436B-B64C-A157CC02B00E}" name="FKC _x000a_CITY OF_x000a_FRESNO_x000a_AF" dataDxfId="139"/>
    <tableColumn id="5" xr3:uid="{7237D3C1-1385-4AAB-B04F-351A280CC5C7}" name="FKC _x000a_CITY OF_x000a_FRESNO_x000a_PW OF AF" dataDxfId="138"/>
    <tableColumn id="6" xr3:uid="{98FDCFC1-2595-4B41-9629-35EE9649635D}" name="FKC_x000a_CITY OF_x000a_LINDSAY _x000a_AF" dataDxfId="137"/>
    <tableColumn id="7" xr3:uid="{D4BC9EED-0908-4B6A-9779-9B3A9D1A8DDD}" name="FKC_x000a_CITY OF_x000a_LINDSAY_x000a_PW OF AF" dataDxfId="136"/>
    <tableColumn id="8" xr3:uid="{27E1DD1B-1AB9-4DE0-8EBE-4AC743BBA967}" name="FKC_x000a_CITY OF_x000a_ORANGE_x000a_COVE_x000a_AF" dataDxfId="135"/>
    <tableColumn id="9" xr3:uid="{6E53821A-75F8-4700-9495-01DFCB2D3202}" name="FKC_x000a_CITY OF_x000a_ORANGE_x000a_COVE _x000a_PW OF AF" dataDxfId="134"/>
    <tableColumn id="10" xr3:uid="{E5535BDA-F8CE-48F2-9211-7EF72EEEA9FB}" name="FKC_x000a_DELANO-EARLIMART ID_x000a_ AF" dataDxfId="133"/>
    <tableColumn id="11" xr3:uid="{852142DD-61A7-4B09-BBA8-87C4B7D78E38}" name="FKC_x000a_DELANO-EARLIMART_x000a_ID_x000a_ PW OF AF" dataDxfId="132"/>
    <tableColumn id="12" xr3:uid="{9DD30551-61D5-4333-971F-214ABD073F1E}" name="FKC_x000a_LINDSAY-STRATHMORE_x000a_ID _x000a_AF" dataDxfId="131"/>
    <tableColumn id="13" xr3:uid="{39162A3A-FCB1-47BA-9431-581699E6F2FB}" name="FKC_x000a_LINDSAY-STRATHMORE_x000a_ID_x000a_PW OF AF" dataDxfId="13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0AA0E45-81A3-4CCB-B4E7-C6C1B7C4AE0F}" name="Table8" displayName="Table8" ref="A6:O59" totalsRowShown="0" headerRowDxfId="111" dataDxfId="112">
  <autoFilter ref="A6:O59" xr:uid="{90AA0E45-81A3-4CCB-B4E7-C6C1B7C4AE0F}"/>
  <tableColumns count="15">
    <tableColumn id="1" xr3:uid="{6BA78CD2-479A-4776-97AD-420AC04DAE57}" name="YEAR" dataDxfId="127"/>
    <tableColumn id="2" xr3:uid="{2EEF7E42-0522-4246-8736-C6C7ECE69EE6}" name="FRIANT-KERN CANAL CONTINUED (FKC) - FKC_x000a_SHAFTER-WASCO_x000a_ID _x000a_AF" dataDxfId="126"/>
    <tableColumn id="3" xr3:uid="{53FBA954-BF9C-48E7-81E3-561B461CA846}" name="FRIANT-KERN CANAL CONTINUED (FKC)FKC_x000a_SHAFTER-WASCO_x000a_ID_x000a_PW OF AF" dataDxfId="125"/>
    <tableColumn id="4" xr3:uid="{BE41F3FA-5E89-4094-9728-127F1CDF4A16}" name="FRIANT-KERN CANAL CONTINUED (FKC)FKC_x000a_TERRA BELLA_x000a_ID_x000a_ AF" dataDxfId="124"/>
    <tableColumn id="5" xr3:uid="{282D363A-E89A-477E-AB84-684841A8ECB5}" name="FRIANT-KERN CANAL CONTINUED (FKC)FKC_x000a_TERRA BELLA_x000a_ID_x000a_PW OF AF" dataDxfId="123"/>
    <tableColumn id="6" xr3:uid="{B2BA99A9-2BBA-46F5-A903-3E3395D46D0A}" name="FRIANT-KERN CANAL CONTINUED (FKC)FKC_x000a_TOTAL_x000a_AF" dataDxfId="122"/>
    <tableColumn id="7" xr3:uid="{BE55C892-2D36-421A-B0C8-5B637C5231AA}" name="FRIANT-KERN CANAL CONTINUED (FKC)FKC_x000a_TOTAL_x000a_PW OF AF" dataDxfId="121"/>
    <tableColumn id="8" xr3:uid="{8F0EBE35-F63A-447C-B31F-8EF56CDA1626}" name="NEW MELONES D &amp; R (NMD&amp;R) - NMD&amp;R _x000a_STOCKTON EAST_x000a_WD_x000a_AF" dataDxfId="120"/>
    <tableColumn id="9" xr3:uid="{DEE5A73B-F9B0-4DB0-A953-FF5B1DE62C35}" name="NEW MELONES D &amp; R (NMD&amp;R) - NMD&amp;R _x000a_STOCKTON EAST_x000a_WD_x000a_PW OF AF" dataDxfId="119"/>
    <tableColumn id="10" xr3:uid="{8E050CA9-E546-4046-8965-DA344000FC2C}" name="SACRAMENTO RIVER (SR) - SR_x000a_CITY OF_x000a_REDDING _x000a_AF" dataDxfId="118"/>
    <tableColumn id="11" xr3:uid="{235245DC-1A3E-46E8-A129-845BEB428A95}" name="SACRAMENTO RIVER (SR) - SRSR_x000a_CITY OF_x000a_REDDING_x000a_PW OF AF" dataDxfId="117"/>
    <tableColumn id="12" xr3:uid="{A39BF0A3-C09A-46EC-8B37-E2A92C304CCF}" name="SACRAMENTO RIVER (SR) - SRSR _x000a_CITY OF WEST_x000a_SACRAMENTO _x000a_AF" dataDxfId="116"/>
    <tableColumn id="13" xr3:uid="{A07C4D3D-F965-4D7E-8A11-EC99275F98BC}" name="SACRAMENTO RIVER (SR) - SRSR _x000a_CITY OF WEST_x000a_SACRAMENTO_x000a_PW OF AF" dataDxfId="115"/>
    <tableColumn id="14" xr3:uid="{B66B8B1C-FAA0-40DD-AB46-E3C8DD31EB44}" name="SACRAMENTO RIVER (SR) - SRSR_x000a_LAKE_x000a_CA P.O.A. _x000a_AF" dataDxfId="114"/>
    <tableColumn id="15" xr3:uid="{C0008710-AC7C-4206-B708-E0D84B45BF16}" name="SACRAMENTO RIVER (SR) - SRSR_x000a_LAKE_x000a_CA_x000a_P.O.A._x000a_ PW OF AF" dataDxfId="113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3788266-A321-47BC-AF5A-AA52952138AE}" name="Table7" displayName="Table7" ref="A7:N60" totalsRowShown="0" headerRowDxfId="95" dataDxfId="96">
  <autoFilter ref="A7:N60" xr:uid="{C3788266-A321-47BC-AF5A-AA52952138AE}"/>
  <tableColumns count="14">
    <tableColumn id="1" xr3:uid="{B05951D7-78C3-45C8-A892-A839432F8EE5}" name="YEAR" dataDxfId="110"/>
    <tableColumn id="2" xr3:uid="{7AF7E4CD-ADFC-48FE-97BD-BED859515B5C}" name="SLCF_x000a_CITY OF_x000a_AVENAL _x000a_AF" dataDxfId="109"/>
    <tableColumn id="3" xr3:uid="{B59769A0-F599-4194-812E-2E4C0778051D}" name="SLCF _x000a_CITY OF_x000a_AVENAL _x000a_PW OF AF" dataDxfId="108"/>
    <tableColumn id="4" xr3:uid="{F976BCD8-933E-441C-856D-C7D0CFE03130}" name="SLCF _x000a_CITY OF_x000a_COALINGA _x000a_AF" dataDxfId="107"/>
    <tableColumn id="5" xr3:uid="{00296B89-8E8F-40A7-BEF5-BB07A79B1BDD}" name="SLCF _x000a_CITY OF_x000a_COALINGA_x000a_ PW OF AF" dataDxfId="106"/>
    <tableColumn id="6" xr3:uid="{CC9278F9-32CF-49EE-BB8F-5685EED94454}" name="SLCF_x000a_CITY OF_x000a_HURON_x000a_ AF" dataDxfId="105"/>
    <tableColumn id="7" xr3:uid="{A48BA4B5-7B04-4EDC-A801-7E95DE460803}" name="SLCF_x000a_CITY OF_x000a_HURON_x000a_PW OF AF" dataDxfId="104"/>
    <tableColumn id="8" xr3:uid="{13299908-5709-421E-AE42-C9FA2CA3DD58}" name="SLCF_x000a_STATE OF_x000a_CA_x000a_ AF" dataDxfId="103"/>
    <tableColumn id="9" xr3:uid="{58F0DDE2-3E66-45AE-94EA-EB95EF413B1C}" name="SLCF_x000a_STATE OF_x000a_CA_x000a_PW OF AF" dataDxfId="102"/>
    <tableColumn id="10" xr3:uid="{84124565-02E6-4620-AAF4-5E75B4A05AB8}" name="Column1" dataDxfId="101"/>
    <tableColumn id="11" xr3:uid="{1CA71E5E-E6B0-4889-8936-5778D0EFCDA4}" name="SLCF_x000a_WESTLANDS_x000a_WD_x000a_ AF" dataDxfId="100"/>
    <tableColumn id="12" xr3:uid="{8DFC1F58-0566-4F1E-917A-29EAF11A39E6}" name="SLCF_x000a_WESTLANDS_x000a_WD _x000a_PW OF AF" dataDxfId="99"/>
    <tableColumn id="13" xr3:uid="{DF47D3E5-B472-4494-8EE9-C7ACE2C7D9FC}" name="SLCF_x000a_TOTAL_x000a_ AF" dataDxfId="98"/>
    <tableColumn id="14" xr3:uid="{551F46B3-8206-4C23-A107-0D86EC59C978}" name="SLCF _x000a_TOTAL _x000a_PW OF  AF" dataDxfId="97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7FEE903-DBE5-45D5-983F-D9643E4878EF}" name="Table6" displayName="Table6" ref="A6:U60" totalsRowShown="0" headerRowDxfId="72" dataDxfId="73" headerRowBorderDxfId="248">
  <autoFilter ref="A6:U60" xr:uid="{27FEE903-DBE5-45D5-983F-D9643E4878EF}"/>
  <tableColumns count="21">
    <tableColumn id="1" xr3:uid="{05CD584D-7C8B-4927-9B61-1F4F25A0546E}" name="YEAR" dataDxfId="94"/>
    <tableColumn id="2" xr3:uid="{316D20BC-E820-40F1-AD3D-7348C28A6C99}" name="SAN LUIS CANAL - TRACY  (SLCT) - SLCT_x000a_PACHECO_x000a_WD _x000a_AF" dataDxfId="93"/>
    <tableColumn id="3" xr3:uid="{0962D741-0D3B-4F12-AA3F-F9B0E04A961C}" name="SAN LUIS CANAL - TRACY  (SLCT) - SLCT _x000a_PACHECO_x000a_WD_x000a_PW OF AF" dataDxfId="92"/>
    <tableColumn id="4" xr3:uid="{701A6DE0-A3D5-4469-93F1-A69CCFEFDC27}" name="SAN LUIS CANAL - TRACY  (SLCT) - SLCT _x000a_PANOCHE_x000a_WD_x000a_ AF" dataDxfId="91"/>
    <tableColumn id="5" xr3:uid="{EC102AB2-DA78-4FD5-8718-3C5B4ACEED1B}" name="SAN LUIS CANAL - TRACY  (SLCT) - SLCT _x000a_PANOCHE_x000a_WD _x000a_PW OF AF" dataDxfId="90"/>
    <tableColumn id="6" xr3:uid="{9CF507A4-8990-4CB7-BAAF-2CCE32397288}" name="SAN LUIS CANAL - TRACY  (SLCT) - SLCT _x000a_SAN LUIS_x000a_WD_x000a_AF" dataDxfId="89"/>
    <tableColumn id="7" xr3:uid="{D69CCA82-D692-492D-B85C-00188113B526}" name="SAN LUIS CANAL - TRACY  (SLCT) - SLCT_x000a_SAN LUIS_x000a_ WD_x000a_ PW OF AF" dataDxfId="88"/>
    <tableColumn id="8" xr3:uid="{9D80949F-13C9-494B-9216-392D83F2FAB1}" name="SAN LUIS CANAL - TRACY  (SLCT) - SLCT _x000a_TOTAL_x000a_AF" dataDxfId="87"/>
    <tableColumn id="9" xr3:uid="{6961D337-DB1C-42EB-B3C7-716789C2DF7A}" name="SAN LUIS CANAL - TRACY  (SLCT) - SLCT _x000a_TOTAL _x000a_PW OF AF" dataDxfId="86"/>
    <tableColumn id="10" xr3:uid="{2C5A44C9-4E1E-4398-B9F7-EC9C0D434B4B}" name="SAN LUIS CANAL - TRACY  (SLCT) - SD&amp;R _x000a_CENTERVILLE_x000a_CSD _x000a_AF" dataDxfId="85"/>
    <tableColumn id="11" xr3:uid="{E7B31053-9D08-4A0F-8765-FE5424D17651}" name="SAN LUIS CANAL - TRACY  (SLCT) - SD&amp;R_x000a_CENTERVILLE_x000a_CSD_x000a_ PW OF AF" dataDxfId="84"/>
    <tableColumn id="12" xr3:uid="{C23EE237-3401-464B-A376-10D701917D9F}" name="SHASTA D&amp;R (SD&amp;R) - SD&amp;R _x000a_MOUNTAIN GATE_x000a_CSD_x000a_AF" dataDxfId="83"/>
    <tableColumn id="13" xr3:uid="{A804A675-A932-49CC-A952-3D20A3D440B0}" name="SHASTA D&amp;R (SD&amp;R) - SD&amp;R_x000a_MOUNTAIN GATE_x000a_CSD _x000a_PW OF AF" dataDxfId="82"/>
    <tableColumn id="14" xr3:uid="{C1A6A04A-7EE2-4396-836C-38486F7FF888}" name="Column1" dataDxfId="81"/>
    <tableColumn id="15" xr3:uid="{F805FDBB-0259-4FA6-A462-85421C245173}" name="SHASTA D&amp;R (SD&amp;R) - SD&amp;R _x000a_SHASTA CWA _x000a_AF" dataDxfId="80"/>
    <tableColumn id="16" xr3:uid="{C70B6A8D-151E-4042-B330-078A89616B51}" name="Column2" dataDxfId="79"/>
    <tableColumn id="17" xr3:uid="{ABB31281-8340-4FE2-916C-09353B9D6584}" name="SHASTA D&amp;R (SD&amp;R) - SD&amp;R _x000a_SHASTA CWA _x000a_PW OF AF" dataDxfId="78"/>
    <tableColumn id="18" xr3:uid="{2789AE8D-B31B-4B49-A41C-51FB9479ED7C}" name="Column3" dataDxfId="77"/>
    <tableColumn id="19" xr3:uid="{A21053DE-154A-4283-99C3-AF1444AC357E}" name="SHASTA D&amp;R (SD&amp;R) - SD&amp;R_x000a_TOTAL_x000a_AF" dataDxfId="76"/>
    <tableColumn id="20" xr3:uid="{ECA9AEC3-98FA-4D80-9279-92691EDA1A60}" name="Column4" dataDxfId="75"/>
    <tableColumn id="21" xr3:uid="{E22A3087-0D11-4094-9040-321F192A24FF}" name="SHASTA D&amp;R (SD&amp;R) - SD&amp;R_x000a_TOTAL_x000a_PW OF AF" dataDxfId="74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D84E-4DCF-4D5C-97C9-63C8B2AED8C0}">
  <sheetPr transitionEvaluation="1" transitionEntry="1"/>
  <dimension ref="A1:IB480"/>
  <sheetViews>
    <sheetView defaultGridColor="0" view="pageBreakPreview" topLeftCell="A7" colorId="22" zoomScaleNormal="100" zoomScaleSheetLayoutView="100" workbookViewId="0">
      <selection activeCell="A11" sqref="A11:XFD11"/>
    </sheetView>
  </sheetViews>
  <sheetFormatPr defaultColWidth="9.77734375" defaultRowHeight="15" x14ac:dyDescent="0.2"/>
  <cols>
    <col min="1" max="1" width="41.88671875" style="18" customWidth="1"/>
    <col min="2" max="2" width="39.5546875" style="18" customWidth="1"/>
    <col min="3" max="5" width="16.5546875" style="11" customWidth="1"/>
    <col min="6" max="16384" width="9.77734375" style="11"/>
  </cols>
  <sheetData>
    <row r="1" spans="1:236" s="1" customFormat="1" ht="40.5" x14ac:dyDescent="0.35">
      <c r="A1" s="103" t="s">
        <v>82</v>
      </c>
      <c r="B1" s="103"/>
      <c r="C1" s="102"/>
      <c r="D1" s="22"/>
      <c r="E1" s="22"/>
      <c r="F1" s="22"/>
      <c r="G1" s="22"/>
      <c r="H1" s="22"/>
      <c r="I1" s="39"/>
    </row>
    <row r="2" spans="1:236" s="1" customFormat="1" ht="20.25" x14ac:dyDescent="0.35">
      <c r="A2" s="104" t="s">
        <v>83</v>
      </c>
      <c r="B2" s="103"/>
      <c r="C2" s="102"/>
      <c r="D2" s="22"/>
      <c r="E2" s="22"/>
      <c r="F2" s="22"/>
      <c r="G2" s="22"/>
      <c r="H2" s="22"/>
      <c r="I2" s="39"/>
    </row>
    <row r="3" spans="1:236" s="36" customFormat="1" ht="20.25" x14ac:dyDescent="0.25">
      <c r="A3" s="105" t="s">
        <v>84</v>
      </c>
      <c r="B3" s="105"/>
      <c r="C3" s="101"/>
      <c r="D3" s="28"/>
      <c r="E3" s="28"/>
      <c r="F3" s="28"/>
      <c r="G3" s="28"/>
      <c r="H3" s="28"/>
      <c r="I3" s="100"/>
    </row>
    <row r="4" spans="1:236" s="36" customFormat="1" ht="81" x14ac:dyDescent="0.25">
      <c r="A4" s="105" t="s">
        <v>85</v>
      </c>
      <c r="B4" s="105"/>
      <c r="C4" s="101"/>
      <c r="D4" s="28"/>
      <c r="E4" s="28"/>
      <c r="F4" s="28"/>
      <c r="G4" s="28"/>
      <c r="H4" s="28"/>
      <c r="I4" s="100"/>
    </row>
    <row r="5" spans="1:236" s="36" customFormat="1" ht="101.25" x14ac:dyDescent="0.25">
      <c r="A5" s="105" t="s">
        <v>86</v>
      </c>
      <c r="B5" s="105"/>
      <c r="C5" s="101"/>
      <c r="D5" s="28"/>
      <c r="E5" s="28"/>
      <c r="F5" s="28"/>
      <c r="G5" s="28"/>
      <c r="H5" s="28"/>
      <c r="I5" s="100"/>
    </row>
    <row r="6" spans="1:236" s="96" customFormat="1" ht="20.25" x14ac:dyDescent="0.35">
      <c r="A6" s="106" t="s">
        <v>236</v>
      </c>
      <c r="B6" s="107" t="s">
        <v>235</v>
      </c>
      <c r="C6" s="99"/>
      <c r="D6" s="79"/>
      <c r="E6" s="79"/>
      <c r="F6" s="79"/>
      <c r="G6" s="79"/>
      <c r="H6" s="79"/>
      <c r="I6" s="98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</row>
    <row r="7" spans="1:236" ht="17.25" x14ac:dyDescent="0.3">
      <c r="A7" s="108" t="s">
        <v>234</v>
      </c>
      <c r="B7" s="109" t="s">
        <v>233</v>
      </c>
      <c r="C7" s="95"/>
      <c r="D7" s="14"/>
      <c r="E7" s="14"/>
      <c r="F7" s="14"/>
      <c r="G7" s="14"/>
      <c r="H7" s="14"/>
      <c r="I7" s="90"/>
    </row>
    <row r="8" spans="1:236" ht="17.25" x14ac:dyDescent="0.3">
      <c r="A8" s="110"/>
      <c r="B8" s="109" t="s">
        <v>232</v>
      </c>
      <c r="C8" s="95"/>
      <c r="D8" s="14"/>
      <c r="E8" s="14"/>
      <c r="F8" s="14"/>
      <c r="G8" s="14"/>
      <c r="H8" s="14"/>
      <c r="I8" s="90"/>
    </row>
    <row r="9" spans="1:236" ht="17.25" x14ac:dyDescent="0.3">
      <c r="A9" s="110"/>
      <c r="B9" s="109" t="s">
        <v>231</v>
      </c>
      <c r="C9" s="95"/>
      <c r="D9" s="14"/>
      <c r="E9" s="14"/>
      <c r="F9" s="14"/>
      <c r="G9" s="14"/>
      <c r="H9" s="14"/>
      <c r="I9" s="90"/>
    </row>
    <row r="10" spans="1:236" ht="17.25" x14ac:dyDescent="0.3">
      <c r="A10" s="111" t="s">
        <v>230</v>
      </c>
      <c r="B10" s="109" t="s">
        <v>229</v>
      </c>
      <c r="C10" s="95"/>
      <c r="D10" s="14"/>
      <c r="E10" s="14"/>
      <c r="F10" s="14"/>
      <c r="G10" s="14"/>
      <c r="H10" s="14"/>
      <c r="I10" s="90"/>
    </row>
    <row r="11" spans="1:236" ht="15.75" customHeight="1" x14ac:dyDescent="0.3">
      <c r="A11" s="112" t="s">
        <v>228</v>
      </c>
      <c r="B11" s="109" t="s">
        <v>227</v>
      </c>
      <c r="C11" s="95"/>
      <c r="D11" s="14"/>
      <c r="E11" s="14"/>
      <c r="F11" s="14"/>
      <c r="G11" s="14"/>
      <c r="H11" s="14"/>
      <c r="I11" s="90"/>
    </row>
    <row r="12" spans="1:236" ht="17.25" x14ac:dyDescent="0.3">
      <c r="A12" s="111" t="s">
        <v>226</v>
      </c>
      <c r="B12" s="109" t="s">
        <v>225</v>
      </c>
      <c r="C12" s="95"/>
      <c r="D12" s="14"/>
      <c r="E12" s="14"/>
      <c r="F12" s="14"/>
      <c r="G12" s="14"/>
      <c r="H12" s="14"/>
      <c r="I12" s="90"/>
    </row>
    <row r="13" spans="1:236" ht="15" customHeight="1" x14ac:dyDescent="0.3">
      <c r="A13" s="111" t="s">
        <v>223</v>
      </c>
      <c r="B13" s="109" t="s">
        <v>224</v>
      </c>
      <c r="C13" s="95"/>
      <c r="D13" s="14"/>
      <c r="E13" s="14"/>
      <c r="F13" s="14"/>
      <c r="G13" s="14"/>
      <c r="H13" s="14"/>
      <c r="I13" s="90"/>
    </row>
    <row r="14" spans="1:236" ht="17.25" x14ac:dyDescent="0.3">
      <c r="A14" s="111" t="s">
        <v>223</v>
      </c>
      <c r="B14" s="109" t="s">
        <v>222</v>
      </c>
      <c r="C14" s="95"/>
      <c r="D14" s="14"/>
      <c r="E14" s="14"/>
      <c r="F14" s="14"/>
      <c r="G14" s="14"/>
      <c r="H14" s="14"/>
      <c r="I14" s="90"/>
    </row>
    <row r="15" spans="1:236" ht="17.25" x14ac:dyDescent="0.3">
      <c r="A15" s="111" t="s">
        <v>221</v>
      </c>
      <c r="B15" s="109" t="s">
        <v>220</v>
      </c>
      <c r="C15" s="95"/>
      <c r="D15" s="14"/>
      <c r="E15" s="14"/>
      <c r="F15" s="14"/>
      <c r="G15" s="14"/>
      <c r="H15" s="14"/>
      <c r="I15" s="90"/>
    </row>
    <row r="16" spans="1:236" ht="16.5" customHeight="1" x14ac:dyDescent="0.3">
      <c r="A16" s="112" t="s">
        <v>219</v>
      </c>
      <c r="B16" s="109" t="s">
        <v>218</v>
      </c>
      <c r="C16" s="95"/>
      <c r="D16" s="14"/>
      <c r="E16" s="14"/>
      <c r="F16" s="14"/>
      <c r="G16" s="14"/>
      <c r="H16" s="14"/>
      <c r="I16" s="90"/>
    </row>
    <row r="17" spans="1:236" ht="17.25" x14ac:dyDescent="0.3">
      <c r="A17" s="108" t="s">
        <v>217</v>
      </c>
      <c r="B17" s="109" t="s">
        <v>216</v>
      </c>
      <c r="C17" s="95"/>
      <c r="D17" s="14"/>
      <c r="E17" s="14"/>
      <c r="F17" s="14"/>
      <c r="G17" s="14"/>
      <c r="H17" s="14"/>
      <c r="I17" s="90"/>
    </row>
    <row r="18" spans="1:236" ht="16.5" customHeight="1" x14ac:dyDescent="0.3">
      <c r="A18" s="111" t="s">
        <v>215</v>
      </c>
      <c r="B18" s="109" t="s">
        <v>214</v>
      </c>
      <c r="C18" s="95"/>
      <c r="D18" s="14"/>
      <c r="E18" s="14"/>
      <c r="F18" s="14"/>
      <c r="G18" s="14"/>
      <c r="H18" s="14"/>
      <c r="I18" s="90"/>
    </row>
    <row r="19" spans="1:236" ht="15" customHeight="1" x14ac:dyDescent="0.3">
      <c r="A19" s="111" t="s">
        <v>213</v>
      </c>
      <c r="B19" s="109" t="s">
        <v>212</v>
      </c>
      <c r="C19" s="95"/>
      <c r="D19" s="14"/>
      <c r="E19" s="14"/>
      <c r="F19" s="14"/>
      <c r="G19" s="14"/>
      <c r="H19" s="14"/>
      <c r="I19" s="90"/>
    </row>
    <row r="20" spans="1:236" ht="20.25" customHeight="1" x14ac:dyDescent="0.3">
      <c r="A20" s="113">
        <v>10</v>
      </c>
      <c r="B20" s="109" t="s">
        <v>211</v>
      </c>
      <c r="C20" s="95"/>
      <c r="D20" s="14"/>
      <c r="E20" s="14"/>
      <c r="F20" s="14"/>
      <c r="G20" s="14"/>
      <c r="H20" s="14"/>
      <c r="I20" s="90"/>
    </row>
    <row r="21" spans="1:236" ht="17.25" x14ac:dyDescent="0.3">
      <c r="A21" s="113">
        <v>10</v>
      </c>
      <c r="B21" s="109" t="s">
        <v>210</v>
      </c>
      <c r="C21" s="95"/>
      <c r="D21" s="14"/>
      <c r="E21" s="14"/>
      <c r="F21" s="14"/>
      <c r="G21" s="14"/>
      <c r="H21" s="14"/>
      <c r="I21" s="90"/>
    </row>
    <row r="22" spans="1:236" ht="18" customHeight="1" x14ac:dyDescent="0.3">
      <c r="A22" s="113">
        <v>11</v>
      </c>
      <c r="B22" s="109" t="s">
        <v>209</v>
      </c>
      <c r="C22" s="95"/>
      <c r="D22" s="14"/>
      <c r="E22" s="14"/>
      <c r="F22" s="14"/>
      <c r="G22" s="14"/>
      <c r="H22" s="14"/>
      <c r="I22" s="90"/>
    </row>
    <row r="23" spans="1:236" ht="15" customHeight="1" x14ac:dyDescent="0.3">
      <c r="A23" s="113">
        <v>11</v>
      </c>
      <c r="B23" s="109" t="s">
        <v>208</v>
      </c>
      <c r="C23" s="95"/>
      <c r="D23" s="14"/>
      <c r="E23" s="14"/>
      <c r="F23" s="14"/>
      <c r="G23" s="14"/>
      <c r="H23" s="14"/>
      <c r="I23" s="90"/>
    </row>
    <row r="24" spans="1:236" ht="17.25" x14ac:dyDescent="0.3">
      <c r="A24" s="113">
        <v>12</v>
      </c>
      <c r="B24" s="109" t="s">
        <v>207</v>
      </c>
      <c r="C24" s="95"/>
      <c r="D24" s="14"/>
      <c r="E24" s="14"/>
      <c r="F24" s="14"/>
      <c r="G24" s="14"/>
      <c r="H24" s="14"/>
      <c r="I24" s="90"/>
    </row>
    <row r="25" spans="1:236" ht="34.5" x14ac:dyDescent="0.3">
      <c r="A25" s="113">
        <v>12</v>
      </c>
      <c r="B25" s="109" t="s">
        <v>206</v>
      </c>
      <c r="C25" s="95"/>
      <c r="D25" s="14"/>
      <c r="E25" s="14"/>
      <c r="F25" s="14"/>
      <c r="G25" s="14"/>
      <c r="H25" s="14"/>
      <c r="I25" s="90"/>
    </row>
    <row r="26" spans="1:236" ht="19.5" customHeight="1" x14ac:dyDescent="0.3">
      <c r="A26" s="114" t="s">
        <v>205</v>
      </c>
      <c r="B26" s="109" t="s">
        <v>204</v>
      </c>
      <c r="C26" s="95"/>
      <c r="D26" s="14"/>
      <c r="E26" s="14"/>
      <c r="F26" s="14"/>
      <c r="G26" s="14"/>
      <c r="H26" s="14"/>
      <c r="I26" s="90"/>
    </row>
    <row r="27" spans="1:236" ht="17.25" x14ac:dyDescent="0.3">
      <c r="A27" s="113">
        <v>16</v>
      </c>
      <c r="B27" s="109" t="s">
        <v>203</v>
      </c>
      <c r="C27" s="95"/>
      <c r="D27" s="14"/>
      <c r="E27" s="14"/>
      <c r="F27" s="14"/>
      <c r="G27" s="14"/>
      <c r="H27" s="14"/>
      <c r="I27" s="90"/>
    </row>
    <row r="28" spans="1:236" ht="18" x14ac:dyDescent="0.25">
      <c r="A28" s="94"/>
      <c r="B28" s="91"/>
      <c r="C28" s="22"/>
      <c r="D28" s="22"/>
      <c r="E28" s="22"/>
      <c r="F28" s="22"/>
      <c r="G28" s="22"/>
      <c r="H28" s="22"/>
      <c r="I28" s="3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</row>
    <row r="29" spans="1:236" ht="18" x14ac:dyDescent="0.25">
      <c r="A29" s="93"/>
      <c r="B29" s="91"/>
      <c r="C29" s="22"/>
      <c r="D29" s="22"/>
      <c r="E29" s="22"/>
      <c r="F29" s="22"/>
      <c r="G29" s="22"/>
      <c r="H29" s="22"/>
      <c r="I29" s="3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</row>
    <row r="30" spans="1:236" ht="18" x14ac:dyDescent="0.25">
      <c r="A30" s="93"/>
      <c r="B30" s="91"/>
      <c r="C30" s="22"/>
      <c r="D30" s="22"/>
      <c r="E30" s="22"/>
      <c r="F30" s="22"/>
      <c r="G30" s="22"/>
      <c r="H30" s="22"/>
      <c r="I30" s="3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</row>
    <row r="31" spans="1:236" ht="18" x14ac:dyDescent="0.25">
      <c r="A31" s="93"/>
      <c r="B31" s="91"/>
      <c r="C31" s="22"/>
      <c r="D31" s="22"/>
      <c r="E31" s="22"/>
      <c r="F31" s="22"/>
      <c r="G31" s="22"/>
      <c r="H31" s="22"/>
      <c r="I31" s="3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</row>
    <row r="32" spans="1:236" ht="18" x14ac:dyDescent="0.25">
      <c r="A32" s="93"/>
      <c r="B32" s="91"/>
      <c r="C32" s="22"/>
      <c r="D32" s="22"/>
      <c r="E32" s="22"/>
      <c r="F32" s="22"/>
      <c r="G32" s="22"/>
      <c r="H32" s="22"/>
      <c r="I32" s="3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</row>
    <row r="33" spans="1:236" ht="18" x14ac:dyDescent="0.25">
      <c r="A33" s="93"/>
      <c r="B33" s="91"/>
      <c r="C33" s="22"/>
      <c r="D33" s="22"/>
      <c r="E33" s="22"/>
      <c r="F33" s="22"/>
      <c r="G33" s="22"/>
      <c r="H33" s="22"/>
      <c r="I33" s="3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</row>
    <row r="34" spans="1:236" ht="18" x14ac:dyDescent="0.25">
      <c r="A34" s="93"/>
      <c r="B34" s="91"/>
      <c r="C34" s="22"/>
      <c r="D34" s="22"/>
      <c r="E34" s="22"/>
      <c r="F34" s="22"/>
      <c r="G34" s="22"/>
      <c r="H34" s="22"/>
      <c r="I34" s="3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</row>
    <row r="35" spans="1:236" ht="18" x14ac:dyDescent="0.25">
      <c r="A35" s="93"/>
      <c r="B35" s="91"/>
      <c r="C35" s="22"/>
      <c r="D35" s="22"/>
      <c r="E35" s="22"/>
      <c r="F35" s="22"/>
      <c r="G35" s="22"/>
      <c r="H35" s="22"/>
      <c r="I35" s="3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</row>
    <row r="36" spans="1:236" ht="18" x14ac:dyDescent="0.25">
      <c r="A36" s="93"/>
      <c r="B36" s="91"/>
      <c r="C36" s="22"/>
      <c r="D36" s="22"/>
      <c r="E36" s="22"/>
      <c r="F36" s="22"/>
      <c r="G36" s="22"/>
      <c r="H36" s="22"/>
      <c r="I36" s="3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</row>
    <row r="37" spans="1:236" ht="18" x14ac:dyDescent="0.25">
      <c r="A37" s="93"/>
      <c r="B37" s="91"/>
      <c r="C37" s="22"/>
      <c r="D37" s="22"/>
      <c r="E37" s="22"/>
      <c r="F37" s="22"/>
      <c r="G37" s="22"/>
      <c r="H37" s="22"/>
      <c r="I37" s="3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</row>
    <row r="38" spans="1:236" ht="18" x14ac:dyDescent="0.25">
      <c r="A38" s="93"/>
      <c r="B38" s="91"/>
      <c r="C38" s="22"/>
      <c r="D38" s="22"/>
      <c r="E38" s="22"/>
      <c r="F38" s="22"/>
      <c r="G38" s="22"/>
      <c r="H38" s="22"/>
      <c r="I38" s="3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</row>
    <row r="39" spans="1:236" ht="18" x14ac:dyDescent="0.25">
      <c r="A39" s="93"/>
      <c r="B39" s="91"/>
      <c r="C39" s="22"/>
      <c r="D39" s="22"/>
      <c r="E39" s="22"/>
      <c r="F39" s="22"/>
      <c r="G39" s="22"/>
      <c r="H39" s="22"/>
      <c r="I39" s="3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</row>
    <row r="40" spans="1:236" ht="18" x14ac:dyDescent="0.25">
      <c r="A40" s="93"/>
      <c r="B40" s="91"/>
      <c r="C40" s="22"/>
      <c r="D40" s="22"/>
      <c r="E40" s="22"/>
      <c r="F40" s="22"/>
      <c r="G40" s="22"/>
      <c r="H40" s="22"/>
      <c r="I40" s="3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</row>
    <row r="41" spans="1:236" ht="18" x14ac:dyDescent="0.25">
      <c r="A41" s="93"/>
      <c r="B41" s="91"/>
      <c r="C41" s="22"/>
      <c r="D41" s="22"/>
      <c r="E41" s="22"/>
      <c r="F41" s="22"/>
      <c r="G41" s="22"/>
      <c r="H41" s="22"/>
      <c r="I41" s="3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</row>
    <row r="42" spans="1:236" ht="18" x14ac:dyDescent="0.25">
      <c r="A42" s="93"/>
      <c r="B42" s="91"/>
      <c r="C42" s="22"/>
      <c r="D42" s="22"/>
      <c r="E42" s="22"/>
      <c r="F42" s="22"/>
      <c r="G42" s="22"/>
      <c r="H42" s="22"/>
      <c r="I42" s="3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</row>
    <row r="43" spans="1:236" ht="18" x14ac:dyDescent="0.25">
      <c r="A43" s="93"/>
      <c r="B43" s="91"/>
      <c r="C43" s="22"/>
      <c r="D43" s="22"/>
      <c r="E43" s="22"/>
      <c r="F43" s="22"/>
      <c r="G43" s="22"/>
      <c r="H43" s="22"/>
      <c r="I43" s="3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</row>
    <row r="44" spans="1:236" ht="18" x14ac:dyDescent="0.25">
      <c r="A44" s="93"/>
      <c r="B44" s="91"/>
      <c r="C44" s="22"/>
      <c r="D44" s="22"/>
      <c r="E44" s="22"/>
      <c r="F44" s="22"/>
      <c r="G44" s="22"/>
      <c r="H44" s="22"/>
      <c r="I44" s="3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</row>
    <row r="45" spans="1:236" ht="18" x14ac:dyDescent="0.25">
      <c r="A45" s="92"/>
      <c r="B45" s="47"/>
      <c r="C45" s="22"/>
      <c r="D45" s="22"/>
      <c r="E45" s="22"/>
      <c r="F45" s="22"/>
      <c r="G45" s="22"/>
      <c r="H45" s="22"/>
      <c r="I45" s="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</row>
    <row r="46" spans="1:236" ht="18" x14ac:dyDescent="0.25">
      <c r="A46" s="92"/>
      <c r="B46" s="47"/>
      <c r="C46" s="22"/>
      <c r="D46" s="22"/>
      <c r="E46" s="22"/>
      <c r="F46" s="22"/>
      <c r="G46" s="22"/>
      <c r="H46" s="22"/>
      <c r="I46" s="3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</row>
    <row r="47" spans="1:236" ht="18" x14ac:dyDescent="0.25">
      <c r="A47" s="47"/>
      <c r="B47" s="91"/>
      <c r="C47" s="14"/>
      <c r="D47" s="14"/>
      <c r="E47" s="14"/>
      <c r="F47" s="14"/>
      <c r="G47" s="14"/>
      <c r="H47" s="14"/>
      <c r="I47" s="90"/>
    </row>
    <row r="48" spans="1:236" ht="18" x14ac:dyDescent="0.25">
      <c r="A48" s="47"/>
      <c r="B48" s="91"/>
      <c r="C48" s="14"/>
      <c r="D48" s="14"/>
      <c r="E48" s="14"/>
      <c r="F48" s="14"/>
      <c r="G48" s="14"/>
      <c r="H48" s="14"/>
      <c r="I48" s="90"/>
    </row>
    <row r="49" spans="1:9" ht="18" x14ac:dyDescent="0.25">
      <c r="A49" s="47"/>
      <c r="B49" s="91"/>
      <c r="C49" s="14"/>
      <c r="D49" s="14"/>
      <c r="E49" s="14"/>
      <c r="F49" s="14"/>
      <c r="G49" s="14"/>
      <c r="H49" s="14"/>
      <c r="I49" s="90"/>
    </row>
    <row r="50" spans="1:9" ht="18" x14ac:dyDescent="0.25">
      <c r="A50" s="47"/>
      <c r="B50" s="91"/>
      <c r="C50" s="14"/>
      <c r="D50" s="14"/>
      <c r="E50" s="14"/>
      <c r="F50" s="14"/>
      <c r="G50" s="14"/>
      <c r="H50" s="14"/>
      <c r="I50" s="90"/>
    </row>
    <row r="51" spans="1:9" ht="18" x14ac:dyDescent="0.25">
      <c r="A51" s="47"/>
      <c r="B51" s="91"/>
      <c r="C51" s="14"/>
      <c r="D51" s="14"/>
      <c r="E51" s="14"/>
      <c r="F51" s="14"/>
      <c r="G51" s="14"/>
      <c r="H51" s="14"/>
      <c r="I51" s="90"/>
    </row>
    <row r="52" spans="1:9" ht="18" x14ac:dyDescent="0.25">
      <c r="A52" s="47"/>
      <c r="B52" s="91"/>
      <c r="C52" s="14"/>
      <c r="D52" s="14"/>
      <c r="E52" s="14"/>
      <c r="F52" s="14"/>
      <c r="G52" s="14"/>
      <c r="H52" s="14"/>
      <c r="I52" s="90"/>
    </row>
    <row r="53" spans="1:9" ht="18" x14ac:dyDescent="0.25">
      <c r="A53" s="47"/>
      <c r="B53" s="91"/>
      <c r="C53" s="14"/>
      <c r="D53" s="14"/>
      <c r="E53" s="14"/>
      <c r="F53" s="14"/>
      <c r="G53" s="14"/>
      <c r="H53" s="14"/>
      <c r="I53" s="90"/>
    </row>
    <row r="54" spans="1:9" ht="18" x14ac:dyDescent="0.25">
      <c r="A54" s="47"/>
      <c r="B54" s="91"/>
      <c r="C54" s="14"/>
      <c r="D54" s="14"/>
      <c r="E54" s="14"/>
      <c r="F54" s="14"/>
      <c r="G54" s="14"/>
      <c r="H54" s="14"/>
      <c r="I54" s="90"/>
    </row>
    <row r="55" spans="1:9" ht="18" x14ac:dyDescent="0.25">
      <c r="A55" s="47"/>
      <c r="B55" s="91"/>
      <c r="C55" s="14"/>
      <c r="D55" s="14"/>
      <c r="E55" s="14"/>
      <c r="F55" s="14"/>
      <c r="G55" s="14"/>
      <c r="H55" s="14"/>
      <c r="I55" s="90"/>
    </row>
    <row r="56" spans="1:9" ht="18" x14ac:dyDescent="0.25">
      <c r="A56" s="47"/>
      <c r="B56" s="47"/>
      <c r="C56" s="14"/>
      <c r="D56" s="14"/>
      <c r="E56" s="14"/>
      <c r="F56" s="14"/>
      <c r="G56" s="14"/>
      <c r="H56" s="14"/>
      <c r="I56" s="90"/>
    </row>
    <row r="57" spans="1:9" x14ac:dyDescent="0.2">
      <c r="A57" s="17"/>
      <c r="B57" s="17"/>
      <c r="C57" s="14"/>
      <c r="D57" s="14"/>
      <c r="E57" s="14"/>
      <c r="F57" s="14"/>
      <c r="G57" s="14"/>
      <c r="H57" s="14"/>
    </row>
    <row r="58" spans="1:9" x14ac:dyDescent="0.2">
      <c r="A58" s="17"/>
      <c r="B58" s="17"/>
      <c r="C58" s="14"/>
      <c r="D58" s="14"/>
      <c r="E58" s="14"/>
      <c r="F58" s="14"/>
      <c r="G58" s="14"/>
      <c r="H58" s="14"/>
    </row>
    <row r="59" spans="1:9" x14ac:dyDescent="0.2">
      <c r="A59" s="17"/>
      <c r="B59" s="17"/>
      <c r="C59" s="14"/>
      <c r="D59" s="14"/>
      <c r="E59" s="14"/>
      <c r="F59" s="14"/>
      <c r="G59" s="14"/>
      <c r="H59" s="14"/>
    </row>
    <row r="60" spans="1:9" x14ac:dyDescent="0.2">
      <c r="A60" s="17"/>
      <c r="B60" s="17"/>
      <c r="C60" s="14"/>
      <c r="D60" s="14"/>
      <c r="E60" s="14"/>
      <c r="F60" s="14"/>
      <c r="G60" s="14"/>
      <c r="H60" s="14"/>
    </row>
    <row r="61" spans="1:9" x14ac:dyDescent="0.2">
      <c r="A61" s="17"/>
      <c r="B61" s="17"/>
      <c r="C61" s="14"/>
      <c r="D61" s="14"/>
      <c r="E61" s="14"/>
      <c r="F61" s="14"/>
      <c r="G61" s="14"/>
      <c r="H61" s="14"/>
    </row>
    <row r="62" spans="1:9" x14ac:dyDescent="0.2">
      <c r="A62" s="17"/>
      <c r="B62" s="17"/>
      <c r="C62" s="14"/>
      <c r="D62" s="14"/>
      <c r="E62" s="14"/>
      <c r="F62" s="14"/>
      <c r="G62" s="14"/>
      <c r="H62" s="14"/>
    </row>
    <row r="63" spans="1:9" x14ac:dyDescent="0.2">
      <c r="A63" s="17"/>
      <c r="B63" s="17"/>
      <c r="C63" s="14"/>
      <c r="D63" s="14"/>
      <c r="E63" s="14"/>
      <c r="F63" s="14"/>
      <c r="G63" s="14"/>
      <c r="H63" s="14"/>
    </row>
    <row r="64" spans="1:9" x14ac:dyDescent="0.2">
      <c r="A64" s="17"/>
      <c r="B64" s="17"/>
      <c r="C64" s="14"/>
      <c r="D64" s="14"/>
      <c r="E64" s="14"/>
      <c r="F64" s="14"/>
      <c r="G64" s="14"/>
      <c r="H64" s="14"/>
    </row>
    <row r="65" spans="1:8" x14ac:dyDescent="0.2">
      <c r="A65" s="17"/>
      <c r="B65" s="17"/>
      <c r="C65" s="14"/>
      <c r="D65" s="14"/>
      <c r="E65" s="14"/>
      <c r="F65" s="14"/>
      <c r="G65" s="14"/>
      <c r="H65" s="14"/>
    </row>
    <row r="66" spans="1:8" x14ac:dyDescent="0.2">
      <c r="A66" s="17"/>
      <c r="B66" s="17"/>
      <c r="C66" s="14"/>
      <c r="D66" s="14"/>
      <c r="E66" s="14"/>
      <c r="F66" s="14"/>
      <c r="G66" s="14"/>
      <c r="H66" s="14"/>
    </row>
    <row r="67" spans="1:8" x14ac:dyDescent="0.2">
      <c r="A67" s="17"/>
      <c r="B67" s="17"/>
      <c r="C67" s="14"/>
      <c r="D67" s="14"/>
      <c r="E67" s="14"/>
      <c r="F67" s="14"/>
      <c r="G67" s="14"/>
      <c r="H67" s="14"/>
    </row>
    <row r="68" spans="1:8" x14ac:dyDescent="0.2">
      <c r="A68" s="17"/>
      <c r="B68" s="17"/>
      <c r="C68" s="14"/>
      <c r="D68" s="14"/>
      <c r="E68" s="14"/>
      <c r="F68" s="14"/>
      <c r="G68" s="14"/>
      <c r="H68" s="14"/>
    </row>
    <row r="69" spans="1:8" x14ac:dyDescent="0.2">
      <c r="A69" s="17"/>
      <c r="B69" s="17"/>
      <c r="C69" s="14"/>
      <c r="D69" s="14"/>
      <c r="E69" s="14"/>
      <c r="F69" s="14"/>
      <c r="G69" s="14"/>
      <c r="H69" s="14"/>
    </row>
    <row r="70" spans="1:8" x14ac:dyDescent="0.2">
      <c r="A70" s="17"/>
      <c r="B70" s="17"/>
      <c r="C70" s="14"/>
      <c r="D70" s="14"/>
      <c r="E70" s="14"/>
      <c r="F70" s="14"/>
      <c r="G70" s="14"/>
      <c r="H70" s="14"/>
    </row>
    <row r="71" spans="1:8" x14ac:dyDescent="0.2">
      <c r="A71" s="17"/>
      <c r="B71" s="17"/>
      <c r="C71" s="14"/>
      <c r="D71" s="14"/>
      <c r="E71" s="14"/>
      <c r="F71" s="14"/>
      <c r="G71" s="14"/>
      <c r="H71" s="14"/>
    </row>
    <row r="72" spans="1:8" x14ac:dyDescent="0.2">
      <c r="A72" s="17"/>
      <c r="B72" s="17"/>
      <c r="C72" s="14"/>
      <c r="D72" s="14"/>
      <c r="E72" s="14"/>
      <c r="F72" s="14"/>
      <c r="G72" s="14"/>
      <c r="H72" s="14"/>
    </row>
    <row r="73" spans="1:8" x14ac:dyDescent="0.2">
      <c r="A73" s="17"/>
      <c r="B73" s="17"/>
      <c r="C73" s="14"/>
      <c r="D73" s="14"/>
      <c r="E73" s="14"/>
      <c r="F73" s="14"/>
      <c r="G73" s="14"/>
      <c r="H73" s="14"/>
    </row>
    <row r="74" spans="1:8" x14ac:dyDescent="0.2">
      <c r="A74" s="17"/>
      <c r="B74" s="17"/>
      <c r="C74" s="14"/>
      <c r="D74" s="14"/>
      <c r="E74" s="14"/>
      <c r="F74" s="14"/>
      <c r="G74" s="14"/>
      <c r="H74" s="14"/>
    </row>
    <row r="75" spans="1:8" x14ac:dyDescent="0.2">
      <c r="A75" s="17"/>
      <c r="B75" s="17"/>
      <c r="C75" s="14"/>
      <c r="D75" s="14"/>
      <c r="E75" s="14"/>
      <c r="F75" s="14"/>
      <c r="G75" s="14"/>
      <c r="H75" s="14"/>
    </row>
    <row r="76" spans="1:8" x14ac:dyDescent="0.2">
      <c r="A76" s="17"/>
      <c r="B76" s="17"/>
      <c r="C76" s="14"/>
      <c r="D76" s="14"/>
      <c r="E76" s="14"/>
      <c r="F76" s="14"/>
      <c r="G76" s="14"/>
      <c r="H76" s="14"/>
    </row>
    <row r="77" spans="1:8" x14ac:dyDescent="0.2">
      <c r="A77" s="17"/>
      <c r="B77" s="17"/>
      <c r="C77" s="14"/>
      <c r="D77" s="14"/>
      <c r="E77" s="14"/>
      <c r="F77" s="14"/>
      <c r="G77" s="14"/>
      <c r="H77" s="14"/>
    </row>
    <row r="78" spans="1:8" x14ac:dyDescent="0.2">
      <c r="A78" s="17"/>
      <c r="B78" s="17"/>
      <c r="C78" s="14"/>
      <c r="D78" s="14"/>
      <c r="E78" s="14"/>
      <c r="F78" s="14"/>
      <c r="G78" s="14"/>
      <c r="H78" s="14"/>
    </row>
    <row r="79" spans="1:8" x14ac:dyDescent="0.2">
      <c r="A79" s="17"/>
      <c r="B79" s="17"/>
      <c r="C79" s="14"/>
      <c r="D79" s="14"/>
      <c r="E79" s="14"/>
      <c r="F79" s="14"/>
      <c r="G79" s="14"/>
      <c r="H79" s="14"/>
    </row>
    <row r="80" spans="1:8" x14ac:dyDescent="0.2">
      <c r="A80" s="17"/>
      <c r="B80" s="17"/>
      <c r="C80" s="14"/>
      <c r="D80" s="14"/>
      <c r="E80" s="14"/>
      <c r="F80" s="14"/>
      <c r="G80" s="14"/>
      <c r="H80" s="14"/>
    </row>
    <row r="81" spans="1:8" x14ac:dyDescent="0.2">
      <c r="A81" s="17"/>
      <c r="B81" s="17"/>
      <c r="C81" s="14"/>
      <c r="D81" s="14"/>
      <c r="E81" s="14"/>
      <c r="F81" s="14"/>
      <c r="G81" s="14"/>
      <c r="H81" s="14"/>
    </row>
    <row r="82" spans="1:8" x14ac:dyDescent="0.2">
      <c r="A82" s="17"/>
      <c r="B82" s="17"/>
      <c r="C82" s="14"/>
      <c r="D82" s="14"/>
      <c r="E82" s="14"/>
      <c r="F82" s="14"/>
      <c r="G82" s="14"/>
      <c r="H82" s="14"/>
    </row>
    <row r="83" spans="1:8" x14ac:dyDescent="0.2">
      <c r="A83" s="17"/>
      <c r="B83" s="17"/>
      <c r="C83" s="14"/>
      <c r="D83" s="14"/>
      <c r="E83" s="14"/>
      <c r="F83" s="14"/>
      <c r="G83" s="14"/>
      <c r="H83" s="14"/>
    </row>
    <row r="84" spans="1:8" x14ac:dyDescent="0.2">
      <c r="A84" s="17"/>
      <c r="B84" s="17"/>
      <c r="C84" s="14"/>
      <c r="D84" s="14"/>
      <c r="E84" s="14"/>
      <c r="F84" s="14"/>
      <c r="G84" s="14"/>
      <c r="H84" s="14"/>
    </row>
    <row r="85" spans="1:8" x14ac:dyDescent="0.2">
      <c r="A85" s="17"/>
      <c r="B85" s="17"/>
      <c r="C85" s="14"/>
      <c r="D85" s="14"/>
      <c r="E85" s="14"/>
      <c r="F85" s="14"/>
      <c r="G85" s="14"/>
      <c r="H85" s="14"/>
    </row>
    <row r="86" spans="1:8" x14ac:dyDescent="0.2">
      <c r="A86" s="17"/>
      <c r="B86" s="17"/>
      <c r="C86" s="14"/>
      <c r="D86" s="14"/>
      <c r="E86" s="14"/>
      <c r="F86" s="14"/>
      <c r="G86" s="14"/>
      <c r="H86" s="14"/>
    </row>
    <row r="87" spans="1:8" x14ac:dyDescent="0.2">
      <c r="A87" s="17"/>
      <c r="B87" s="17"/>
      <c r="C87" s="14"/>
      <c r="D87" s="14"/>
      <c r="E87" s="14"/>
      <c r="F87" s="14"/>
      <c r="G87" s="14"/>
      <c r="H87" s="14"/>
    </row>
    <row r="88" spans="1:8" x14ac:dyDescent="0.2">
      <c r="A88" s="17"/>
      <c r="B88" s="17"/>
      <c r="C88" s="14"/>
      <c r="D88" s="14"/>
      <c r="E88" s="14"/>
      <c r="F88" s="14"/>
      <c r="G88" s="14"/>
      <c r="H88" s="14"/>
    </row>
    <row r="89" spans="1:8" x14ac:dyDescent="0.2">
      <c r="A89" s="17"/>
      <c r="B89" s="17"/>
      <c r="C89" s="14"/>
      <c r="D89" s="14"/>
      <c r="E89" s="14"/>
      <c r="F89" s="14"/>
      <c r="G89" s="14"/>
      <c r="H89" s="14"/>
    </row>
    <row r="90" spans="1:8" x14ac:dyDescent="0.2">
      <c r="A90" s="17"/>
      <c r="B90" s="17"/>
      <c r="C90" s="14"/>
      <c r="D90" s="14"/>
      <c r="E90" s="14"/>
      <c r="F90" s="14"/>
      <c r="G90" s="14"/>
      <c r="H90" s="14"/>
    </row>
    <row r="91" spans="1:8" x14ac:dyDescent="0.2">
      <c r="A91" s="17"/>
      <c r="B91" s="17"/>
      <c r="C91" s="14"/>
      <c r="D91" s="14"/>
      <c r="E91" s="14"/>
      <c r="F91" s="14"/>
      <c r="G91" s="14"/>
      <c r="H91" s="14"/>
    </row>
    <row r="92" spans="1:8" x14ac:dyDescent="0.2">
      <c r="A92" s="17"/>
      <c r="B92" s="17"/>
      <c r="C92" s="14"/>
      <c r="D92" s="14"/>
      <c r="E92" s="14"/>
      <c r="F92" s="14"/>
      <c r="G92" s="14"/>
      <c r="H92" s="14"/>
    </row>
    <row r="93" spans="1:8" x14ac:dyDescent="0.2">
      <c r="A93" s="17"/>
      <c r="B93" s="17"/>
      <c r="C93" s="14"/>
      <c r="D93" s="14"/>
      <c r="E93" s="14"/>
      <c r="F93" s="14"/>
      <c r="G93" s="14"/>
      <c r="H93" s="14"/>
    </row>
    <row r="94" spans="1:8" x14ac:dyDescent="0.2">
      <c r="A94" s="17"/>
      <c r="B94" s="17"/>
      <c r="C94" s="14"/>
      <c r="D94" s="14"/>
      <c r="E94" s="14"/>
      <c r="F94" s="14"/>
      <c r="G94" s="14"/>
      <c r="H94" s="14"/>
    </row>
    <row r="95" spans="1:8" x14ac:dyDescent="0.2">
      <c r="A95" s="17"/>
      <c r="B95" s="17"/>
      <c r="C95" s="14"/>
      <c r="D95" s="14"/>
      <c r="E95" s="14"/>
      <c r="F95" s="14"/>
      <c r="G95" s="14"/>
      <c r="H95" s="14"/>
    </row>
    <row r="96" spans="1:8" x14ac:dyDescent="0.2">
      <c r="A96" s="17"/>
      <c r="B96" s="17"/>
      <c r="C96" s="14"/>
      <c r="D96" s="14"/>
      <c r="E96" s="14"/>
      <c r="F96" s="14"/>
      <c r="G96" s="14"/>
      <c r="H96" s="14"/>
    </row>
    <row r="97" spans="1:8" x14ac:dyDescent="0.2">
      <c r="A97" s="17"/>
      <c r="B97" s="17"/>
      <c r="C97" s="14"/>
      <c r="D97" s="14"/>
      <c r="E97" s="14"/>
      <c r="F97" s="14"/>
      <c r="G97" s="14"/>
      <c r="H97" s="14"/>
    </row>
    <row r="98" spans="1:8" x14ac:dyDescent="0.2">
      <c r="A98" s="17"/>
      <c r="B98" s="17"/>
      <c r="C98" s="14"/>
      <c r="D98" s="14"/>
      <c r="E98" s="14"/>
      <c r="F98" s="14"/>
      <c r="G98" s="14"/>
      <c r="H98" s="14"/>
    </row>
    <row r="99" spans="1:8" x14ac:dyDescent="0.2">
      <c r="A99" s="17"/>
      <c r="B99" s="17"/>
      <c r="C99" s="14"/>
      <c r="D99" s="14"/>
      <c r="E99" s="14"/>
      <c r="F99" s="14"/>
      <c r="G99" s="14"/>
      <c r="H99" s="14"/>
    </row>
    <row r="100" spans="1:8" x14ac:dyDescent="0.2">
      <c r="A100" s="17"/>
      <c r="B100" s="17"/>
      <c r="C100" s="14"/>
      <c r="D100" s="14"/>
      <c r="E100" s="14"/>
      <c r="F100" s="14"/>
      <c r="G100" s="14"/>
      <c r="H100" s="14"/>
    </row>
    <row r="101" spans="1:8" x14ac:dyDescent="0.2">
      <c r="A101" s="17"/>
      <c r="B101" s="17"/>
      <c r="C101" s="14"/>
      <c r="D101" s="14"/>
      <c r="E101" s="14"/>
      <c r="F101" s="14"/>
      <c r="G101" s="14"/>
      <c r="H101" s="14"/>
    </row>
    <row r="102" spans="1:8" x14ac:dyDescent="0.2">
      <c r="A102" s="17"/>
      <c r="B102" s="17"/>
      <c r="C102" s="14"/>
      <c r="D102" s="14"/>
      <c r="E102" s="14"/>
      <c r="F102" s="14"/>
      <c r="G102" s="14"/>
      <c r="H102" s="14"/>
    </row>
    <row r="103" spans="1:8" x14ac:dyDescent="0.2">
      <c r="A103" s="17"/>
      <c r="B103" s="17"/>
      <c r="C103" s="14"/>
      <c r="D103" s="14"/>
      <c r="E103" s="14"/>
      <c r="F103" s="14"/>
      <c r="G103" s="14"/>
      <c r="H103" s="14"/>
    </row>
    <row r="104" spans="1:8" x14ac:dyDescent="0.2">
      <c r="A104" s="17"/>
      <c r="B104" s="17"/>
      <c r="C104" s="14"/>
      <c r="D104" s="14"/>
      <c r="E104" s="14"/>
      <c r="F104" s="14"/>
      <c r="G104" s="14"/>
      <c r="H104" s="14"/>
    </row>
    <row r="105" spans="1:8" x14ac:dyDescent="0.2">
      <c r="A105" s="17"/>
      <c r="B105" s="17"/>
      <c r="C105" s="14"/>
      <c r="D105" s="14"/>
      <c r="E105" s="14"/>
      <c r="F105" s="14"/>
      <c r="G105" s="14"/>
      <c r="H105" s="14"/>
    </row>
    <row r="106" spans="1:8" x14ac:dyDescent="0.2">
      <c r="A106" s="17"/>
      <c r="B106" s="17"/>
      <c r="C106" s="14"/>
      <c r="D106" s="14"/>
      <c r="E106" s="14"/>
      <c r="F106" s="14"/>
      <c r="G106" s="14"/>
      <c r="H106" s="14"/>
    </row>
    <row r="107" spans="1:8" x14ac:dyDescent="0.2">
      <c r="A107" s="17"/>
      <c r="B107" s="17"/>
      <c r="C107" s="14"/>
      <c r="D107" s="14"/>
      <c r="E107" s="14"/>
      <c r="F107" s="14"/>
      <c r="G107" s="14"/>
      <c r="H107" s="14"/>
    </row>
    <row r="108" spans="1:8" x14ac:dyDescent="0.2">
      <c r="A108" s="17"/>
      <c r="B108" s="17"/>
      <c r="C108" s="14"/>
      <c r="D108" s="14"/>
      <c r="E108" s="14"/>
      <c r="F108" s="14"/>
      <c r="G108" s="14"/>
      <c r="H108" s="14"/>
    </row>
    <row r="109" spans="1:8" x14ac:dyDescent="0.2">
      <c r="A109" s="17"/>
      <c r="B109" s="17"/>
      <c r="C109" s="14"/>
      <c r="D109" s="14"/>
      <c r="E109" s="14"/>
      <c r="F109" s="14"/>
      <c r="G109" s="14"/>
      <c r="H109" s="14"/>
    </row>
    <row r="110" spans="1:8" x14ac:dyDescent="0.2">
      <c r="A110" s="17"/>
      <c r="B110" s="17"/>
      <c r="C110" s="14"/>
      <c r="D110" s="14"/>
      <c r="E110" s="14"/>
      <c r="F110" s="14"/>
      <c r="G110" s="14"/>
      <c r="H110" s="14"/>
    </row>
    <row r="111" spans="1:8" x14ac:dyDescent="0.2">
      <c r="A111" s="17"/>
      <c r="B111" s="17"/>
      <c r="C111" s="14"/>
      <c r="D111" s="14"/>
      <c r="E111" s="14"/>
      <c r="F111" s="14"/>
      <c r="G111" s="14"/>
      <c r="H111" s="14"/>
    </row>
    <row r="112" spans="1:8" x14ac:dyDescent="0.2">
      <c r="A112" s="17"/>
      <c r="B112" s="17"/>
      <c r="C112" s="14"/>
      <c r="D112" s="14"/>
      <c r="E112" s="14"/>
      <c r="F112" s="14"/>
      <c r="G112" s="14"/>
      <c r="H112" s="14"/>
    </row>
    <row r="113" spans="1:8" x14ac:dyDescent="0.2">
      <c r="A113" s="17"/>
      <c r="B113" s="17"/>
      <c r="C113" s="14"/>
      <c r="D113" s="14"/>
      <c r="E113" s="14"/>
      <c r="F113" s="14"/>
      <c r="G113" s="14"/>
      <c r="H113" s="14"/>
    </row>
    <row r="114" spans="1:8" x14ac:dyDescent="0.2">
      <c r="A114" s="17"/>
      <c r="B114" s="17"/>
      <c r="C114" s="14"/>
      <c r="D114" s="14"/>
      <c r="E114" s="14"/>
      <c r="F114" s="14"/>
      <c r="G114" s="14"/>
      <c r="H114" s="14"/>
    </row>
    <row r="115" spans="1:8" x14ac:dyDescent="0.2">
      <c r="A115" s="17"/>
      <c r="B115" s="17"/>
      <c r="C115" s="14"/>
      <c r="D115" s="14"/>
      <c r="E115" s="14"/>
      <c r="F115" s="14"/>
      <c r="G115" s="14"/>
      <c r="H115" s="14"/>
    </row>
    <row r="116" spans="1:8" x14ac:dyDescent="0.2">
      <c r="A116" s="17"/>
      <c r="B116" s="17"/>
      <c r="C116" s="14"/>
      <c r="D116" s="14"/>
      <c r="E116" s="14"/>
      <c r="F116" s="14"/>
      <c r="G116" s="14"/>
      <c r="H116" s="14"/>
    </row>
    <row r="117" spans="1:8" x14ac:dyDescent="0.2">
      <c r="A117" s="17"/>
      <c r="B117" s="17"/>
      <c r="C117" s="14"/>
      <c r="D117" s="14"/>
      <c r="E117" s="14"/>
      <c r="F117" s="14"/>
      <c r="G117" s="14"/>
      <c r="H117" s="14"/>
    </row>
    <row r="118" spans="1:8" x14ac:dyDescent="0.2">
      <c r="A118" s="17"/>
      <c r="B118" s="17"/>
      <c r="C118" s="14"/>
      <c r="D118" s="14"/>
      <c r="E118" s="14"/>
      <c r="F118" s="14"/>
      <c r="G118" s="14"/>
      <c r="H118" s="14"/>
    </row>
    <row r="119" spans="1:8" x14ac:dyDescent="0.2">
      <c r="A119" s="17"/>
      <c r="B119" s="17"/>
      <c r="C119" s="14"/>
      <c r="D119" s="14"/>
      <c r="E119" s="14"/>
      <c r="F119" s="14"/>
      <c r="G119" s="14"/>
      <c r="H119" s="14"/>
    </row>
    <row r="120" spans="1:8" x14ac:dyDescent="0.2">
      <c r="A120" s="17"/>
      <c r="B120" s="17"/>
      <c r="C120" s="14"/>
      <c r="D120" s="14"/>
      <c r="E120" s="14"/>
      <c r="F120" s="14"/>
      <c r="G120" s="14"/>
      <c r="H120" s="14"/>
    </row>
    <row r="121" spans="1:8" x14ac:dyDescent="0.2">
      <c r="A121" s="17"/>
      <c r="B121" s="17"/>
      <c r="C121" s="14"/>
      <c r="D121" s="14"/>
      <c r="E121" s="14"/>
      <c r="F121" s="14"/>
      <c r="G121" s="14"/>
      <c r="H121" s="14"/>
    </row>
    <row r="122" spans="1:8" x14ac:dyDescent="0.2">
      <c r="A122" s="17"/>
      <c r="B122" s="17"/>
      <c r="C122" s="14"/>
      <c r="D122" s="14"/>
      <c r="E122" s="14"/>
      <c r="F122" s="14"/>
      <c r="G122" s="14"/>
      <c r="H122" s="14"/>
    </row>
    <row r="123" spans="1:8" x14ac:dyDescent="0.2">
      <c r="A123" s="17"/>
      <c r="B123" s="17"/>
      <c r="C123" s="14"/>
      <c r="D123" s="14"/>
      <c r="E123" s="14"/>
      <c r="F123" s="14"/>
      <c r="G123" s="14"/>
      <c r="H123" s="14"/>
    </row>
    <row r="124" spans="1:8" x14ac:dyDescent="0.2">
      <c r="A124" s="17"/>
      <c r="B124" s="17"/>
      <c r="C124" s="14"/>
      <c r="D124" s="14"/>
      <c r="E124" s="14"/>
      <c r="F124" s="14"/>
      <c r="G124" s="14"/>
      <c r="H124" s="14"/>
    </row>
    <row r="125" spans="1:8" x14ac:dyDescent="0.2">
      <c r="A125" s="17"/>
      <c r="B125" s="17"/>
      <c r="C125" s="14"/>
      <c r="D125" s="14"/>
      <c r="E125" s="14"/>
      <c r="F125" s="14"/>
      <c r="G125" s="14"/>
      <c r="H125" s="14"/>
    </row>
    <row r="126" spans="1:8" x14ac:dyDescent="0.2">
      <c r="A126" s="17"/>
      <c r="B126" s="17"/>
      <c r="C126" s="14"/>
      <c r="D126" s="14"/>
      <c r="E126" s="14"/>
      <c r="F126" s="14"/>
      <c r="G126" s="14"/>
      <c r="H126" s="14"/>
    </row>
    <row r="127" spans="1:8" x14ac:dyDescent="0.2">
      <c r="A127" s="17"/>
      <c r="B127" s="17"/>
      <c r="C127" s="14"/>
      <c r="D127" s="14"/>
      <c r="E127" s="14"/>
      <c r="F127" s="14"/>
      <c r="G127" s="14"/>
      <c r="H127" s="14"/>
    </row>
    <row r="128" spans="1:8" x14ac:dyDescent="0.2">
      <c r="A128" s="17"/>
      <c r="B128" s="17"/>
      <c r="C128" s="14"/>
      <c r="D128" s="14"/>
      <c r="E128" s="14"/>
      <c r="F128" s="14"/>
      <c r="G128" s="14"/>
      <c r="H128" s="14"/>
    </row>
    <row r="129" spans="1:8" x14ac:dyDescent="0.2">
      <c r="A129" s="17"/>
      <c r="B129" s="17"/>
      <c r="C129" s="14"/>
      <c r="D129" s="14"/>
      <c r="E129" s="14"/>
      <c r="F129" s="14"/>
      <c r="G129" s="14"/>
      <c r="H129" s="14"/>
    </row>
    <row r="130" spans="1:8" x14ac:dyDescent="0.2">
      <c r="A130" s="17"/>
      <c r="B130" s="17"/>
      <c r="C130" s="14"/>
      <c r="D130" s="14"/>
      <c r="E130" s="14"/>
      <c r="F130" s="14"/>
      <c r="G130" s="14"/>
      <c r="H130" s="14"/>
    </row>
    <row r="131" spans="1:8" x14ac:dyDescent="0.2">
      <c r="A131" s="17"/>
      <c r="B131" s="17"/>
      <c r="C131" s="14"/>
      <c r="D131" s="14"/>
      <c r="E131" s="14"/>
      <c r="F131" s="14"/>
      <c r="G131" s="14"/>
      <c r="H131" s="14"/>
    </row>
    <row r="132" spans="1:8" x14ac:dyDescent="0.2">
      <c r="A132" s="17"/>
      <c r="B132" s="17"/>
      <c r="C132" s="14"/>
      <c r="D132" s="14"/>
      <c r="E132" s="14"/>
      <c r="F132" s="14"/>
      <c r="G132" s="14"/>
      <c r="H132" s="14"/>
    </row>
    <row r="133" spans="1:8" x14ac:dyDescent="0.2">
      <c r="A133" s="17"/>
      <c r="B133" s="17"/>
      <c r="C133" s="14"/>
      <c r="D133" s="14"/>
      <c r="E133" s="14"/>
      <c r="F133" s="14"/>
      <c r="G133" s="14"/>
      <c r="H133" s="14"/>
    </row>
    <row r="134" spans="1:8" x14ac:dyDescent="0.2">
      <c r="A134" s="17"/>
      <c r="B134" s="17"/>
      <c r="C134" s="14"/>
      <c r="D134" s="14"/>
      <c r="E134" s="14"/>
      <c r="F134" s="14"/>
      <c r="G134" s="14"/>
      <c r="H134" s="14"/>
    </row>
    <row r="135" spans="1:8" x14ac:dyDescent="0.2">
      <c r="A135" s="17"/>
      <c r="B135" s="17"/>
      <c r="C135" s="14"/>
      <c r="D135" s="14"/>
      <c r="E135" s="14"/>
      <c r="F135" s="14"/>
      <c r="G135" s="14"/>
      <c r="H135" s="14"/>
    </row>
    <row r="136" spans="1:8" x14ac:dyDescent="0.2">
      <c r="A136" s="17"/>
      <c r="B136" s="17"/>
      <c r="C136" s="14"/>
      <c r="D136" s="14"/>
      <c r="E136" s="14"/>
      <c r="F136" s="14"/>
      <c r="G136" s="14"/>
      <c r="H136" s="14"/>
    </row>
    <row r="137" spans="1:8" x14ac:dyDescent="0.2">
      <c r="A137" s="17"/>
      <c r="B137" s="17"/>
      <c r="C137" s="14"/>
      <c r="D137" s="14"/>
      <c r="E137" s="14"/>
      <c r="F137" s="14"/>
      <c r="G137" s="14"/>
      <c r="H137" s="14"/>
    </row>
    <row r="138" spans="1:8" x14ac:dyDescent="0.2">
      <c r="A138" s="17"/>
      <c r="B138" s="17"/>
      <c r="C138" s="14"/>
      <c r="D138" s="14"/>
      <c r="E138" s="14"/>
      <c r="F138" s="14"/>
      <c r="G138" s="14"/>
      <c r="H138" s="14"/>
    </row>
    <row r="139" spans="1:8" x14ac:dyDescent="0.2">
      <c r="A139" s="17"/>
      <c r="B139" s="17"/>
      <c r="C139" s="14"/>
      <c r="D139" s="14"/>
      <c r="E139" s="14"/>
      <c r="F139" s="14"/>
      <c r="G139" s="14"/>
      <c r="H139" s="14"/>
    </row>
    <row r="140" spans="1:8" x14ac:dyDescent="0.2">
      <c r="A140" s="17"/>
      <c r="B140" s="17"/>
      <c r="C140" s="14"/>
      <c r="D140" s="14"/>
      <c r="E140" s="14"/>
      <c r="F140" s="14"/>
      <c r="G140" s="14"/>
      <c r="H140" s="14"/>
    </row>
    <row r="141" spans="1:8" x14ac:dyDescent="0.2">
      <c r="A141" s="17"/>
      <c r="B141" s="17"/>
      <c r="C141" s="14"/>
      <c r="D141" s="14"/>
      <c r="E141" s="14"/>
      <c r="F141" s="14"/>
      <c r="G141" s="14"/>
      <c r="H141" s="14"/>
    </row>
    <row r="142" spans="1:8" x14ac:dyDescent="0.2">
      <c r="A142" s="17"/>
      <c r="B142" s="17"/>
      <c r="C142" s="14"/>
      <c r="D142" s="14"/>
      <c r="E142" s="14"/>
      <c r="F142" s="14"/>
      <c r="G142" s="14"/>
      <c r="H142" s="14"/>
    </row>
    <row r="143" spans="1:8" x14ac:dyDescent="0.2">
      <c r="A143" s="17"/>
      <c r="B143" s="17"/>
      <c r="C143" s="14"/>
      <c r="D143" s="14"/>
      <c r="E143" s="14"/>
      <c r="F143" s="14"/>
      <c r="G143" s="14"/>
      <c r="H143" s="14"/>
    </row>
    <row r="144" spans="1:8" x14ac:dyDescent="0.2">
      <c r="A144" s="17"/>
      <c r="B144" s="17"/>
      <c r="C144" s="14"/>
      <c r="D144" s="14"/>
      <c r="E144" s="14"/>
      <c r="F144" s="14"/>
      <c r="G144" s="14"/>
      <c r="H144" s="14"/>
    </row>
    <row r="145" spans="1:8" x14ac:dyDescent="0.2">
      <c r="A145" s="17"/>
      <c r="B145" s="17"/>
      <c r="C145" s="14"/>
      <c r="D145" s="14"/>
      <c r="E145" s="14"/>
      <c r="F145" s="14"/>
      <c r="G145" s="14"/>
      <c r="H145" s="14"/>
    </row>
    <row r="146" spans="1:8" x14ac:dyDescent="0.2">
      <c r="A146" s="17"/>
      <c r="B146" s="17"/>
      <c r="C146" s="14"/>
      <c r="D146" s="14"/>
      <c r="E146" s="14"/>
      <c r="F146" s="14"/>
      <c r="G146" s="14"/>
      <c r="H146" s="14"/>
    </row>
    <row r="147" spans="1:8" x14ac:dyDescent="0.2">
      <c r="A147" s="17"/>
      <c r="B147" s="17"/>
      <c r="C147" s="14"/>
      <c r="D147" s="14"/>
      <c r="E147" s="14"/>
      <c r="F147" s="14"/>
      <c r="G147" s="14"/>
      <c r="H147" s="14"/>
    </row>
    <row r="148" spans="1:8" x14ac:dyDescent="0.2">
      <c r="A148" s="17"/>
      <c r="B148" s="17"/>
      <c r="C148" s="14"/>
      <c r="D148" s="14"/>
      <c r="E148" s="14"/>
      <c r="F148" s="14"/>
      <c r="G148" s="14"/>
      <c r="H148" s="14"/>
    </row>
    <row r="149" spans="1:8" x14ac:dyDescent="0.2">
      <c r="A149" s="17"/>
      <c r="B149" s="17"/>
      <c r="C149" s="14"/>
      <c r="D149" s="14"/>
      <c r="E149" s="14"/>
      <c r="F149" s="14"/>
      <c r="G149" s="14"/>
      <c r="H149" s="14"/>
    </row>
    <row r="150" spans="1:8" x14ac:dyDescent="0.2">
      <c r="A150" s="17"/>
      <c r="B150" s="17"/>
      <c r="C150" s="14"/>
      <c r="D150" s="14"/>
      <c r="E150" s="14"/>
      <c r="F150" s="14"/>
      <c r="G150" s="14"/>
      <c r="H150" s="14"/>
    </row>
    <row r="151" spans="1:8" x14ac:dyDescent="0.2">
      <c r="A151" s="17"/>
      <c r="B151" s="17"/>
      <c r="C151" s="14"/>
      <c r="D151" s="14"/>
      <c r="E151" s="14"/>
      <c r="F151" s="14"/>
      <c r="G151" s="14"/>
      <c r="H151" s="14"/>
    </row>
    <row r="152" spans="1:8" x14ac:dyDescent="0.2">
      <c r="A152" s="17"/>
      <c r="B152" s="17"/>
      <c r="C152" s="14"/>
      <c r="D152" s="14"/>
      <c r="E152" s="14"/>
      <c r="F152" s="14"/>
      <c r="G152" s="14"/>
      <c r="H152" s="14"/>
    </row>
    <row r="153" spans="1:8" x14ac:dyDescent="0.2">
      <c r="A153" s="17"/>
      <c r="B153" s="17"/>
      <c r="C153" s="14"/>
      <c r="D153" s="14"/>
      <c r="E153" s="14"/>
      <c r="F153" s="14"/>
      <c r="G153" s="14"/>
      <c r="H153" s="14"/>
    </row>
    <row r="154" spans="1:8" x14ac:dyDescent="0.2">
      <c r="A154" s="17"/>
      <c r="B154" s="17"/>
      <c r="C154" s="14"/>
      <c r="D154" s="14"/>
      <c r="E154" s="14"/>
      <c r="F154" s="14"/>
      <c r="G154" s="14"/>
      <c r="H154" s="14"/>
    </row>
    <row r="155" spans="1:8" x14ac:dyDescent="0.2">
      <c r="A155" s="17"/>
      <c r="B155" s="17"/>
      <c r="C155" s="14"/>
      <c r="D155" s="14"/>
      <c r="E155" s="14"/>
      <c r="F155" s="14"/>
      <c r="G155" s="14"/>
      <c r="H155" s="14"/>
    </row>
    <row r="156" spans="1:8" x14ac:dyDescent="0.2">
      <c r="A156" s="17"/>
      <c r="B156" s="17"/>
      <c r="C156" s="14"/>
      <c r="D156" s="14"/>
      <c r="E156" s="14"/>
      <c r="F156" s="14"/>
      <c r="G156" s="14"/>
      <c r="H156" s="14"/>
    </row>
    <row r="157" spans="1:8" x14ac:dyDescent="0.2">
      <c r="A157" s="17"/>
      <c r="B157" s="17"/>
      <c r="C157" s="14"/>
      <c r="D157" s="14"/>
      <c r="E157" s="14"/>
      <c r="F157" s="14"/>
      <c r="G157" s="14"/>
      <c r="H157" s="14"/>
    </row>
    <row r="158" spans="1:8" x14ac:dyDescent="0.2">
      <c r="A158" s="17"/>
      <c r="B158" s="17"/>
      <c r="C158" s="14"/>
      <c r="D158" s="14"/>
      <c r="E158" s="14"/>
      <c r="F158" s="14"/>
      <c r="G158" s="14"/>
      <c r="H158" s="14"/>
    </row>
    <row r="159" spans="1:8" x14ac:dyDescent="0.2">
      <c r="A159" s="17"/>
      <c r="B159" s="17"/>
      <c r="C159" s="14"/>
      <c r="D159" s="14"/>
      <c r="E159" s="14"/>
      <c r="F159" s="14"/>
      <c r="G159" s="14"/>
      <c r="H159" s="14"/>
    </row>
    <row r="160" spans="1:8" x14ac:dyDescent="0.2">
      <c r="A160" s="17"/>
      <c r="B160" s="17"/>
      <c r="C160" s="14"/>
      <c r="D160" s="14"/>
      <c r="E160" s="14"/>
      <c r="F160" s="14"/>
      <c r="G160" s="14"/>
      <c r="H160" s="14"/>
    </row>
    <row r="161" spans="1:8" x14ac:dyDescent="0.2">
      <c r="A161" s="17"/>
      <c r="B161" s="17"/>
      <c r="C161" s="14"/>
      <c r="D161" s="14"/>
      <c r="E161" s="14"/>
      <c r="F161" s="14"/>
      <c r="G161" s="14"/>
      <c r="H161" s="14"/>
    </row>
    <row r="162" spans="1:8" x14ac:dyDescent="0.2">
      <c r="A162" s="17"/>
      <c r="B162" s="17"/>
      <c r="C162" s="14"/>
      <c r="D162" s="14"/>
      <c r="E162" s="14"/>
      <c r="F162" s="14"/>
      <c r="G162" s="14"/>
      <c r="H162" s="14"/>
    </row>
    <row r="163" spans="1:8" x14ac:dyDescent="0.2">
      <c r="A163" s="17"/>
      <c r="B163" s="17"/>
      <c r="C163" s="14"/>
      <c r="D163" s="14"/>
      <c r="E163" s="14"/>
      <c r="F163" s="14"/>
      <c r="G163" s="14"/>
      <c r="H163" s="14"/>
    </row>
    <row r="164" spans="1:8" x14ac:dyDescent="0.2">
      <c r="A164" s="17"/>
      <c r="B164" s="17"/>
      <c r="C164" s="14"/>
      <c r="D164" s="14"/>
      <c r="E164" s="14"/>
      <c r="F164" s="14"/>
      <c r="G164" s="14"/>
      <c r="H164" s="14"/>
    </row>
    <row r="165" spans="1:8" x14ac:dyDescent="0.2">
      <c r="A165" s="17"/>
      <c r="B165" s="17"/>
      <c r="C165" s="14"/>
      <c r="D165" s="14"/>
      <c r="E165" s="14"/>
      <c r="F165" s="14"/>
      <c r="G165" s="14"/>
      <c r="H165" s="14"/>
    </row>
    <row r="166" spans="1:8" x14ac:dyDescent="0.2">
      <c r="A166" s="17"/>
      <c r="B166" s="17"/>
      <c r="C166" s="14"/>
      <c r="D166" s="14"/>
      <c r="E166" s="14"/>
      <c r="F166" s="14"/>
      <c r="G166" s="14"/>
      <c r="H166" s="14"/>
    </row>
    <row r="167" spans="1:8" x14ac:dyDescent="0.2">
      <c r="A167" s="17"/>
      <c r="B167" s="17"/>
      <c r="C167" s="14"/>
      <c r="D167" s="14"/>
      <c r="E167" s="14"/>
      <c r="F167" s="14"/>
      <c r="G167" s="14"/>
      <c r="H167" s="14"/>
    </row>
    <row r="168" spans="1:8" x14ac:dyDescent="0.2">
      <c r="A168" s="17"/>
      <c r="B168" s="17"/>
      <c r="C168" s="14"/>
      <c r="D168" s="14"/>
      <c r="E168" s="14"/>
      <c r="F168" s="14"/>
      <c r="G168" s="14"/>
      <c r="H168" s="14"/>
    </row>
    <row r="169" spans="1:8" x14ac:dyDescent="0.2">
      <c r="A169" s="17"/>
      <c r="B169" s="17"/>
      <c r="C169" s="14"/>
      <c r="D169" s="14"/>
      <c r="E169" s="14"/>
      <c r="F169" s="14"/>
      <c r="G169" s="14"/>
      <c r="H169" s="14"/>
    </row>
    <row r="170" spans="1:8" x14ac:dyDescent="0.2">
      <c r="A170" s="17"/>
      <c r="B170" s="17"/>
      <c r="C170" s="14"/>
      <c r="D170" s="14"/>
      <c r="E170" s="14"/>
      <c r="F170" s="14"/>
      <c r="G170" s="14"/>
      <c r="H170" s="14"/>
    </row>
    <row r="171" spans="1:8" x14ac:dyDescent="0.2">
      <c r="A171" s="17"/>
      <c r="B171" s="17"/>
      <c r="C171" s="14"/>
      <c r="D171" s="14"/>
      <c r="E171" s="14"/>
      <c r="F171" s="14"/>
      <c r="G171" s="14"/>
      <c r="H171" s="14"/>
    </row>
    <row r="172" spans="1:8" x14ac:dyDescent="0.2">
      <c r="A172" s="17"/>
      <c r="B172" s="17"/>
      <c r="C172" s="14"/>
      <c r="D172" s="14"/>
      <c r="E172" s="14"/>
      <c r="F172" s="14"/>
      <c r="G172" s="14"/>
      <c r="H172" s="14"/>
    </row>
    <row r="173" spans="1:8" x14ac:dyDescent="0.2">
      <c r="A173" s="17"/>
      <c r="B173" s="17"/>
      <c r="C173" s="14"/>
      <c r="D173" s="14"/>
      <c r="E173" s="14"/>
      <c r="F173" s="14"/>
      <c r="G173" s="14"/>
      <c r="H173" s="14"/>
    </row>
    <row r="174" spans="1:8" x14ac:dyDescent="0.2">
      <c r="A174" s="17"/>
      <c r="B174" s="17"/>
      <c r="C174" s="14"/>
      <c r="D174" s="14"/>
      <c r="E174" s="14"/>
      <c r="F174" s="14"/>
      <c r="G174" s="14"/>
      <c r="H174" s="14"/>
    </row>
    <row r="175" spans="1:8" x14ac:dyDescent="0.2">
      <c r="A175" s="17"/>
      <c r="B175" s="17"/>
      <c r="C175" s="14"/>
      <c r="D175" s="14"/>
      <c r="E175" s="14"/>
      <c r="F175" s="14"/>
      <c r="G175" s="14"/>
      <c r="H175" s="14"/>
    </row>
    <row r="176" spans="1:8" x14ac:dyDescent="0.2">
      <c r="A176" s="17"/>
      <c r="B176" s="17"/>
      <c r="C176" s="14"/>
      <c r="D176" s="14"/>
      <c r="E176" s="14"/>
      <c r="F176" s="14"/>
      <c r="G176" s="14"/>
      <c r="H176" s="14"/>
    </row>
    <row r="177" spans="1:8" x14ac:dyDescent="0.2">
      <c r="A177" s="17"/>
      <c r="B177" s="17"/>
      <c r="C177" s="14"/>
      <c r="D177" s="14"/>
      <c r="E177" s="14"/>
      <c r="F177" s="14"/>
      <c r="G177" s="14"/>
      <c r="H177" s="14"/>
    </row>
    <row r="178" spans="1:8" x14ac:dyDescent="0.2">
      <c r="A178" s="17"/>
      <c r="B178" s="17"/>
      <c r="C178" s="14"/>
      <c r="D178" s="14"/>
      <c r="E178" s="14"/>
      <c r="F178" s="14"/>
      <c r="G178" s="14"/>
      <c r="H178" s="14"/>
    </row>
    <row r="179" spans="1:8" x14ac:dyDescent="0.2">
      <c r="A179" s="17"/>
      <c r="B179" s="17"/>
      <c r="C179" s="14"/>
      <c r="D179" s="14"/>
      <c r="E179" s="14"/>
      <c r="F179" s="14"/>
      <c r="G179" s="14"/>
      <c r="H179" s="14"/>
    </row>
    <row r="180" spans="1:8" x14ac:dyDescent="0.2">
      <c r="A180" s="17"/>
      <c r="B180" s="17"/>
      <c r="C180" s="14"/>
      <c r="D180" s="14"/>
      <c r="E180" s="14"/>
      <c r="F180" s="14"/>
      <c r="G180" s="14"/>
      <c r="H180" s="14"/>
    </row>
    <row r="181" spans="1:8" x14ac:dyDescent="0.2">
      <c r="A181" s="17"/>
      <c r="B181" s="17"/>
      <c r="C181" s="14"/>
      <c r="D181" s="14"/>
      <c r="E181" s="14"/>
      <c r="F181" s="14"/>
      <c r="G181" s="14"/>
      <c r="H181" s="14"/>
    </row>
    <row r="182" spans="1:8" x14ac:dyDescent="0.2">
      <c r="A182" s="17"/>
      <c r="B182" s="17"/>
      <c r="C182" s="14"/>
      <c r="D182" s="14"/>
      <c r="E182" s="14"/>
      <c r="F182" s="14"/>
      <c r="G182" s="14"/>
      <c r="H182" s="14"/>
    </row>
    <row r="183" spans="1:8" x14ac:dyDescent="0.2">
      <c r="A183" s="17"/>
      <c r="B183" s="17"/>
      <c r="C183" s="14"/>
      <c r="D183" s="14"/>
      <c r="E183" s="14"/>
      <c r="F183" s="14"/>
      <c r="G183" s="14"/>
      <c r="H183" s="14"/>
    </row>
    <row r="184" spans="1:8" x14ac:dyDescent="0.2">
      <c r="A184" s="17"/>
      <c r="B184" s="17"/>
      <c r="C184" s="14"/>
      <c r="D184" s="14"/>
      <c r="E184" s="14"/>
      <c r="F184" s="14"/>
      <c r="G184" s="14"/>
      <c r="H184" s="14"/>
    </row>
    <row r="185" spans="1:8" x14ac:dyDescent="0.2">
      <c r="A185" s="17"/>
      <c r="B185" s="17"/>
      <c r="C185" s="14"/>
      <c r="D185" s="14"/>
      <c r="E185" s="14"/>
      <c r="F185" s="14"/>
      <c r="G185" s="14"/>
      <c r="H185" s="14"/>
    </row>
    <row r="186" spans="1:8" x14ac:dyDescent="0.2">
      <c r="A186" s="17"/>
      <c r="B186" s="17"/>
      <c r="C186" s="14"/>
      <c r="D186" s="14"/>
      <c r="E186" s="14"/>
      <c r="F186" s="14"/>
      <c r="G186" s="14"/>
      <c r="H186" s="14"/>
    </row>
    <row r="187" spans="1:8" x14ac:dyDescent="0.2">
      <c r="A187" s="17"/>
      <c r="B187" s="17"/>
      <c r="C187" s="14"/>
      <c r="D187" s="14"/>
      <c r="E187" s="14"/>
      <c r="F187" s="14"/>
      <c r="G187" s="14"/>
      <c r="H187" s="14"/>
    </row>
    <row r="188" spans="1:8" x14ac:dyDescent="0.2">
      <c r="A188" s="17"/>
      <c r="B188" s="17"/>
      <c r="C188" s="14"/>
      <c r="D188" s="14"/>
      <c r="E188" s="14"/>
      <c r="F188" s="14"/>
      <c r="G188" s="14"/>
      <c r="H188" s="14"/>
    </row>
    <row r="189" spans="1:8" x14ac:dyDescent="0.2">
      <c r="A189" s="17"/>
      <c r="B189" s="17"/>
      <c r="C189" s="14"/>
      <c r="D189" s="14"/>
      <c r="E189" s="14"/>
      <c r="F189" s="14"/>
      <c r="G189" s="14"/>
      <c r="H189" s="14"/>
    </row>
    <row r="190" spans="1:8" x14ac:dyDescent="0.2">
      <c r="A190" s="17"/>
      <c r="B190" s="17"/>
      <c r="C190" s="14"/>
      <c r="D190" s="14"/>
      <c r="E190" s="14"/>
      <c r="F190" s="14"/>
      <c r="G190" s="14"/>
      <c r="H190" s="14"/>
    </row>
    <row r="191" spans="1:8" x14ac:dyDescent="0.2">
      <c r="A191" s="17"/>
      <c r="B191" s="17"/>
      <c r="C191" s="14"/>
      <c r="D191" s="14"/>
      <c r="E191" s="14"/>
      <c r="F191" s="14"/>
      <c r="G191" s="14"/>
      <c r="H191" s="14"/>
    </row>
    <row r="192" spans="1:8" x14ac:dyDescent="0.2">
      <c r="A192" s="17"/>
      <c r="B192" s="17"/>
      <c r="C192" s="14"/>
      <c r="D192" s="14"/>
      <c r="E192" s="14"/>
      <c r="F192" s="14"/>
      <c r="G192" s="14"/>
      <c r="H192" s="14"/>
    </row>
    <row r="193" spans="1:8" x14ac:dyDescent="0.2">
      <c r="A193" s="17"/>
      <c r="B193" s="17"/>
      <c r="C193" s="14"/>
      <c r="D193" s="14"/>
      <c r="E193" s="14"/>
      <c r="F193" s="14"/>
      <c r="G193" s="14"/>
      <c r="H193" s="14"/>
    </row>
    <row r="194" spans="1:8" x14ac:dyDescent="0.2">
      <c r="A194" s="17"/>
      <c r="B194" s="17"/>
      <c r="C194" s="14"/>
      <c r="D194" s="14"/>
      <c r="E194" s="14"/>
      <c r="F194" s="14"/>
      <c r="G194" s="14"/>
      <c r="H194" s="14"/>
    </row>
    <row r="195" spans="1:8" x14ac:dyDescent="0.2">
      <c r="A195" s="17"/>
      <c r="B195" s="17"/>
      <c r="C195" s="14"/>
      <c r="D195" s="14"/>
      <c r="E195" s="14"/>
      <c r="F195" s="14"/>
      <c r="G195" s="14"/>
      <c r="H195" s="14"/>
    </row>
    <row r="196" spans="1:8" x14ac:dyDescent="0.2">
      <c r="A196" s="17"/>
      <c r="B196" s="17"/>
      <c r="C196" s="14"/>
      <c r="D196" s="14"/>
      <c r="E196" s="14"/>
      <c r="F196" s="14"/>
      <c r="G196" s="14"/>
      <c r="H196" s="14"/>
    </row>
    <row r="197" spans="1:8" x14ac:dyDescent="0.2">
      <c r="A197" s="17"/>
      <c r="B197" s="17"/>
      <c r="C197" s="14"/>
      <c r="D197" s="14"/>
      <c r="E197" s="14"/>
      <c r="F197" s="14"/>
      <c r="G197" s="14"/>
      <c r="H197" s="14"/>
    </row>
    <row r="198" spans="1:8" x14ac:dyDescent="0.2">
      <c r="A198" s="17"/>
      <c r="B198" s="17"/>
      <c r="C198" s="14"/>
      <c r="D198" s="14"/>
      <c r="E198" s="14"/>
      <c r="F198" s="14"/>
      <c r="G198" s="14"/>
      <c r="H198" s="14"/>
    </row>
    <row r="199" spans="1:8" x14ac:dyDescent="0.2">
      <c r="A199" s="17"/>
      <c r="B199" s="17"/>
      <c r="C199" s="14"/>
      <c r="D199" s="14"/>
      <c r="E199" s="14"/>
      <c r="F199" s="14"/>
      <c r="G199" s="14"/>
      <c r="H199" s="14"/>
    </row>
    <row r="200" spans="1:8" x14ac:dyDescent="0.2">
      <c r="A200" s="17"/>
      <c r="B200" s="17"/>
      <c r="C200" s="14"/>
      <c r="D200" s="14"/>
      <c r="E200" s="14"/>
      <c r="F200" s="14"/>
      <c r="G200" s="14"/>
      <c r="H200" s="14"/>
    </row>
    <row r="201" spans="1:8" x14ac:dyDescent="0.2">
      <c r="A201" s="17"/>
      <c r="B201" s="17"/>
      <c r="C201" s="14"/>
      <c r="D201" s="14"/>
      <c r="E201" s="14"/>
      <c r="F201" s="14"/>
      <c r="G201" s="14"/>
      <c r="H201" s="14"/>
    </row>
    <row r="202" spans="1:8" x14ac:dyDescent="0.2">
      <c r="A202" s="17"/>
      <c r="B202" s="17"/>
      <c r="C202" s="14"/>
      <c r="D202" s="14"/>
      <c r="E202" s="14"/>
      <c r="F202" s="14"/>
      <c r="G202" s="14"/>
      <c r="H202" s="14"/>
    </row>
    <row r="203" spans="1:8" x14ac:dyDescent="0.2">
      <c r="A203" s="17"/>
      <c r="B203" s="17"/>
      <c r="C203" s="14"/>
      <c r="D203" s="14"/>
      <c r="E203" s="14"/>
      <c r="F203" s="14"/>
      <c r="G203" s="14"/>
      <c r="H203" s="14"/>
    </row>
    <row r="204" spans="1:8" x14ac:dyDescent="0.2">
      <c r="A204" s="17"/>
      <c r="B204" s="17"/>
      <c r="C204" s="14"/>
      <c r="D204" s="14"/>
      <c r="E204" s="14"/>
      <c r="F204" s="14"/>
      <c r="G204" s="14"/>
      <c r="H204" s="14"/>
    </row>
    <row r="205" spans="1:8" x14ac:dyDescent="0.2">
      <c r="A205" s="17"/>
      <c r="B205" s="17"/>
      <c r="C205" s="14"/>
      <c r="D205" s="14"/>
      <c r="E205" s="14"/>
      <c r="F205" s="14"/>
      <c r="G205" s="14"/>
      <c r="H205" s="14"/>
    </row>
    <row r="206" spans="1:8" x14ac:dyDescent="0.2">
      <c r="A206" s="17"/>
      <c r="B206" s="17"/>
      <c r="C206" s="14"/>
      <c r="D206" s="14"/>
      <c r="E206" s="14"/>
      <c r="F206" s="14"/>
      <c r="G206" s="14"/>
      <c r="H206" s="14"/>
    </row>
    <row r="207" spans="1:8" x14ac:dyDescent="0.2">
      <c r="A207" s="17"/>
      <c r="B207" s="17"/>
      <c r="C207" s="14"/>
      <c r="D207" s="14"/>
      <c r="E207" s="14"/>
      <c r="F207" s="14"/>
      <c r="G207" s="14"/>
      <c r="H207" s="14"/>
    </row>
    <row r="208" spans="1:8" x14ac:dyDescent="0.2">
      <c r="A208" s="17"/>
      <c r="B208" s="17"/>
      <c r="C208" s="14"/>
      <c r="D208" s="14"/>
      <c r="E208" s="14"/>
      <c r="F208" s="14"/>
      <c r="G208" s="14"/>
      <c r="H208" s="14"/>
    </row>
    <row r="209" spans="1:8" x14ac:dyDescent="0.2">
      <c r="A209" s="17"/>
      <c r="B209" s="17"/>
      <c r="C209" s="14"/>
      <c r="D209" s="14"/>
      <c r="E209" s="14"/>
      <c r="F209" s="14"/>
      <c r="G209" s="14"/>
      <c r="H209" s="14"/>
    </row>
    <row r="210" spans="1:8" x14ac:dyDescent="0.2">
      <c r="A210" s="17"/>
      <c r="B210" s="17"/>
      <c r="C210" s="14"/>
      <c r="D210" s="14"/>
      <c r="E210" s="14"/>
      <c r="F210" s="14"/>
      <c r="G210" s="14"/>
      <c r="H210" s="14"/>
    </row>
    <row r="211" spans="1:8" x14ac:dyDescent="0.2">
      <c r="A211" s="17"/>
      <c r="B211" s="17"/>
      <c r="C211" s="14"/>
      <c r="D211" s="14"/>
      <c r="E211" s="14"/>
      <c r="F211" s="14"/>
      <c r="G211" s="14"/>
      <c r="H211" s="14"/>
    </row>
    <row r="212" spans="1:8" x14ac:dyDescent="0.2">
      <c r="A212" s="17"/>
      <c r="B212" s="17"/>
      <c r="C212" s="14"/>
      <c r="D212" s="14"/>
      <c r="E212" s="14"/>
      <c r="F212" s="14"/>
      <c r="G212" s="14"/>
      <c r="H212" s="14"/>
    </row>
    <row r="213" spans="1:8" x14ac:dyDescent="0.2">
      <c r="A213" s="17"/>
      <c r="B213" s="17"/>
      <c r="C213" s="14"/>
      <c r="D213" s="14"/>
      <c r="E213" s="14"/>
      <c r="F213" s="14"/>
      <c r="G213" s="14"/>
      <c r="H213" s="14"/>
    </row>
    <row r="214" spans="1:8" x14ac:dyDescent="0.2">
      <c r="A214" s="17"/>
      <c r="B214" s="17"/>
      <c r="C214" s="14"/>
      <c r="D214" s="14"/>
      <c r="E214" s="14"/>
      <c r="F214" s="14"/>
      <c r="G214" s="14"/>
      <c r="H214" s="14"/>
    </row>
    <row r="215" spans="1:8" x14ac:dyDescent="0.2">
      <c r="A215" s="17"/>
      <c r="B215" s="17"/>
      <c r="C215" s="14"/>
      <c r="D215" s="14"/>
      <c r="E215" s="14"/>
      <c r="F215" s="14"/>
      <c r="G215" s="14"/>
      <c r="H215" s="14"/>
    </row>
    <row r="216" spans="1:8" x14ac:dyDescent="0.2">
      <c r="A216" s="17"/>
      <c r="B216" s="17"/>
      <c r="C216" s="14"/>
      <c r="D216" s="14"/>
      <c r="E216" s="14"/>
      <c r="F216" s="14"/>
      <c r="G216" s="14"/>
      <c r="H216" s="14"/>
    </row>
    <row r="217" spans="1:8" x14ac:dyDescent="0.2">
      <c r="A217" s="17"/>
      <c r="B217" s="17"/>
      <c r="C217" s="14"/>
      <c r="D217" s="14"/>
      <c r="E217" s="14"/>
      <c r="F217" s="14"/>
      <c r="G217" s="14"/>
      <c r="H217" s="14"/>
    </row>
    <row r="218" spans="1:8" x14ac:dyDescent="0.2">
      <c r="A218" s="17"/>
      <c r="B218" s="17"/>
      <c r="C218" s="14"/>
      <c r="D218" s="14"/>
      <c r="E218" s="14"/>
      <c r="F218" s="14"/>
      <c r="G218" s="14"/>
      <c r="H218" s="14"/>
    </row>
    <row r="219" spans="1:8" x14ac:dyDescent="0.2">
      <c r="A219" s="17"/>
      <c r="B219" s="17"/>
      <c r="C219" s="14"/>
      <c r="D219" s="14"/>
      <c r="E219" s="14"/>
      <c r="F219" s="14"/>
      <c r="G219" s="14"/>
      <c r="H219" s="14"/>
    </row>
    <row r="220" spans="1:8" x14ac:dyDescent="0.2">
      <c r="A220" s="17"/>
      <c r="B220" s="17"/>
      <c r="C220" s="14"/>
      <c r="D220" s="14"/>
      <c r="E220" s="14"/>
      <c r="F220" s="14"/>
      <c r="G220" s="14"/>
      <c r="H220" s="14"/>
    </row>
    <row r="221" spans="1:8" x14ac:dyDescent="0.2">
      <c r="A221" s="17"/>
      <c r="B221" s="17"/>
      <c r="C221" s="14"/>
      <c r="D221" s="14"/>
      <c r="E221" s="14"/>
      <c r="F221" s="14"/>
      <c r="G221" s="14"/>
      <c r="H221" s="14"/>
    </row>
    <row r="222" spans="1:8" x14ac:dyDescent="0.2">
      <c r="A222" s="17"/>
      <c r="B222" s="17"/>
      <c r="C222" s="14"/>
      <c r="D222" s="14"/>
      <c r="E222" s="14"/>
      <c r="F222" s="14"/>
      <c r="G222" s="14"/>
      <c r="H222" s="14"/>
    </row>
    <row r="223" spans="1:8" x14ac:dyDescent="0.2">
      <c r="A223" s="17"/>
      <c r="B223" s="17"/>
      <c r="C223" s="14"/>
      <c r="D223" s="14"/>
      <c r="E223" s="14"/>
      <c r="F223" s="14"/>
      <c r="G223" s="14"/>
      <c r="H223" s="14"/>
    </row>
    <row r="224" spans="1:8" x14ac:dyDescent="0.2">
      <c r="A224" s="17"/>
      <c r="B224" s="17"/>
      <c r="C224" s="14"/>
      <c r="D224" s="14"/>
      <c r="E224" s="14"/>
      <c r="F224" s="14"/>
      <c r="G224" s="14"/>
      <c r="H224" s="14"/>
    </row>
    <row r="225" spans="1:8" x14ac:dyDescent="0.2">
      <c r="A225" s="17"/>
      <c r="B225" s="17"/>
      <c r="C225" s="14"/>
      <c r="D225" s="14"/>
      <c r="E225" s="14"/>
      <c r="F225" s="14"/>
      <c r="G225" s="14"/>
      <c r="H225" s="14"/>
    </row>
    <row r="226" spans="1:8" x14ac:dyDescent="0.2">
      <c r="A226" s="17"/>
      <c r="B226" s="17"/>
      <c r="C226" s="14"/>
      <c r="D226" s="14"/>
      <c r="E226" s="14"/>
      <c r="F226" s="14"/>
      <c r="G226" s="14"/>
      <c r="H226" s="14"/>
    </row>
    <row r="227" spans="1:8" x14ac:dyDescent="0.2">
      <c r="A227" s="17"/>
      <c r="B227" s="17"/>
      <c r="C227" s="14"/>
      <c r="D227" s="14"/>
      <c r="E227" s="14"/>
      <c r="F227" s="14"/>
      <c r="G227" s="14"/>
      <c r="H227" s="14"/>
    </row>
    <row r="228" spans="1:8" x14ac:dyDescent="0.2">
      <c r="A228" s="17"/>
      <c r="B228" s="17"/>
      <c r="C228" s="14"/>
      <c r="D228" s="14"/>
      <c r="E228" s="14"/>
      <c r="F228" s="14"/>
      <c r="G228" s="14"/>
      <c r="H228" s="14"/>
    </row>
    <row r="229" spans="1:8" x14ac:dyDescent="0.2">
      <c r="A229" s="17"/>
      <c r="B229" s="17"/>
      <c r="C229" s="14"/>
      <c r="D229" s="14"/>
      <c r="E229" s="14"/>
      <c r="F229" s="14"/>
      <c r="G229" s="14"/>
      <c r="H229" s="14"/>
    </row>
    <row r="230" spans="1:8" x14ac:dyDescent="0.2">
      <c r="A230" s="17"/>
      <c r="B230" s="17"/>
      <c r="C230" s="14"/>
      <c r="D230" s="14"/>
      <c r="E230" s="14"/>
      <c r="F230" s="14"/>
      <c r="G230" s="14"/>
      <c r="H230" s="14"/>
    </row>
    <row r="231" spans="1:8" x14ac:dyDescent="0.2">
      <c r="A231" s="17"/>
      <c r="B231" s="17"/>
      <c r="C231" s="14"/>
      <c r="D231" s="14"/>
      <c r="E231" s="14"/>
      <c r="F231" s="14"/>
      <c r="G231" s="14"/>
      <c r="H231" s="14"/>
    </row>
    <row r="232" spans="1:8" x14ac:dyDescent="0.2">
      <c r="A232" s="17"/>
      <c r="B232" s="17"/>
      <c r="C232" s="14"/>
      <c r="D232" s="14"/>
      <c r="E232" s="14"/>
      <c r="F232" s="14"/>
      <c r="G232" s="14"/>
      <c r="H232" s="14"/>
    </row>
    <row r="233" spans="1:8" x14ac:dyDescent="0.2">
      <c r="A233" s="17"/>
      <c r="B233" s="17"/>
      <c r="C233" s="14"/>
      <c r="D233" s="14"/>
      <c r="E233" s="14"/>
      <c r="F233" s="14"/>
      <c r="G233" s="14"/>
      <c r="H233" s="14"/>
    </row>
    <row r="234" spans="1:8" x14ac:dyDescent="0.2">
      <c r="A234" s="17"/>
      <c r="B234" s="17"/>
      <c r="C234" s="14"/>
      <c r="D234" s="14"/>
      <c r="E234" s="14"/>
      <c r="F234" s="14"/>
      <c r="G234" s="14"/>
      <c r="H234" s="14"/>
    </row>
    <row r="235" spans="1:8" x14ac:dyDescent="0.2">
      <c r="A235" s="17"/>
      <c r="B235" s="17"/>
      <c r="C235" s="14"/>
      <c r="D235" s="14"/>
      <c r="E235" s="14"/>
      <c r="F235" s="14"/>
      <c r="G235" s="14"/>
      <c r="H235" s="14"/>
    </row>
    <row r="236" spans="1:8" x14ac:dyDescent="0.2">
      <c r="A236" s="17"/>
      <c r="B236" s="17"/>
      <c r="C236" s="14"/>
      <c r="D236" s="14"/>
      <c r="E236" s="14"/>
      <c r="F236" s="14"/>
      <c r="G236" s="14"/>
      <c r="H236" s="14"/>
    </row>
    <row r="237" spans="1:8" x14ac:dyDescent="0.2">
      <c r="A237" s="17"/>
      <c r="B237" s="17"/>
      <c r="C237" s="14"/>
      <c r="D237" s="14"/>
      <c r="E237" s="14"/>
      <c r="F237" s="14"/>
      <c r="G237" s="14"/>
      <c r="H237" s="14"/>
    </row>
    <row r="238" spans="1:8" x14ac:dyDescent="0.2">
      <c r="A238" s="17"/>
      <c r="B238" s="17"/>
      <c r="C238" s="14"/>
      <c r="D238" s="14"/>
      <c r="E238" s="14"/>
      <c r="F238" s="14"/>
      <c r="G238" s="14"/>
      <c r="H238" s="14"/>
    </row>
    <row r="239" spans="1:8" x14ac:dyDescent="0.2">
      <c r="A239" s="17"/>
      <c r="B239" s="17"/>
      <c r="C239" s="14"/>
      <c r="D239" s="14"/>
      <c r="E239" s="14"/>
      <c r="F239" s="14"/>
      <c r="G239" s="14"/>
      <c r="H239" s="14"/>
    </row>
    <row r="240" spans="1:8" x14ac:dyDescent="0.2">
      <c r="A240" s="17"/>
      <c r="B240" s="17"/>
      <c r="C240" s="14"/>
      <c r="D240" s="14"/>
      <c r="E240" s="14"/>
      <c r="F240" s="14"/>
      <c r="G240" s="14"/>
      <c r="H240" s="14"/>
    </row>
    <row r="241" spans="1:8" x14ac:dyDescent="0.2">
      <c r="A241" s="17"/>
      <c r="B241" s="17"/>
      <c r="C241" s="14"/>
      <c r="D241" s="14"/>
      <c r="E241" s="14"/>
      <c r="F241" s="14"/>
      <c r="G241" s="14"/>
      <c r="H241" s="14"/>
    </row>
    <row r="242" spans="1:8" x14ac:dyDescent="0.2">
      <c r="A242" s="17"/>
      <c r="B242" s="17"/>
      <c r="C242" s="14"/>
      <c r="D242" s="14"/>
      <c r="E242" s="14"/>
      <c r="F242" s="14"/>
      <c r="G242" s="14"/>
      <c r="H242" s="14"/>
    </row>
    <row r="243" spans="1:8" x14ac:dyDescent="0.2">
      <c r="A243" s="17"/>
      <c r="B243" s="17"/>
      <c r="C243" s="14"/>
      <c r="D243" s="14"/>
      <c r="E243" s="14"/>
      <c r="F243" s="14"/>
      <c r="G243" s="14"/>
      <c r="H243" s="14"/>
    </row>
    <row r="244" spans="1:8" x14ac:dyDescent="0.2">
      <c r="A244" s="17"/>
      <c r="B244" s="17"/>
      <c r="C244" s="14"/>
      <c r="D244" s="14"/>
      <c r="E244" s="14"/>
      <c r="F244" s="14"/>
      <c r="G244" s="14"/>
      <c r="H244" s="14"/>
    </row>
    <row r="245" spans="1:8" x14ac:dyDescent="0.2">
      <c r="A245" s="17"/>
      <c r="B245" s="17"/>
      <c r="C245" s="14"/>
      <c r="D245" s="14"/>
      <c r="E245" s="14"/>
      <c r="F245" s="14"/>
      <c r="G245" s="14"/>
      <c r="H245" s="14"/>
    </row>
    <row r="246" spans="1:8" x14ac:dyDescent="0.2">
      <c r="A246" s="17"/>
      <c r="B246" s="17"/>
      <c r="C246" s="14"/>
      <c r="D246" s="14"/>
      <c r="E246" s="14"/>
      <c r="F246" s="14"/>
      <c r="G246" s="14"/>
      <c r="H246" s="14"/>
    </row>
    <row r="247" spans="1:8" x14ac:dyDescent="0.2">
      <c r="A247" s="17"/>
      <c r="B247" s="17"/>
      <c r="C247" s="14"/>
      <c r="D247" s="14"/>
      <c r="E247" s="14"/>
      <c r="F247" s="14"/>
      <c r="G247" s="14"/>
      <c r="H247" s="14"/>
    </row>
    <row r="248" spans="1:8" x14ac:dyDescent="0.2">
      <c r="A248" s="17"/>
      <c r="B248" s="17"/>
      <c r="C248" s="14"/>
      <c r="D248" s="14"/>
      <c r="E248" s="14"/>
      <c r="F248" s="14"/>
      <c r="G248" s="14"/>
      <c r="H248" s="14"/>
    </row>
    <row r="249" spans="1:8" x14ac:dyDescent="0.2">
      <c r="A249" s="17"/>
      <c r="B249" s="17"/>
      <c r="C249" s="14"/>
      <c r="D249" s="14"/>
      <c r="E249" s="14"/>
      <c r="F249" s="14"/>
      <c r="G249" s="14"/>
      <c r="H249" s="14"/>
    </row>
    <row r="250" spans="1:8" x14ac:dyDescent="0.2">
      <c r="A250" s="17"/>
      <c r="B250" s="17"/>
      <c r="C250" s="14"/>
      <c r="D250" s="14"/>
      <c r="E250" s="14"/>
      <c r="F250" s="14"/>
      <c r="G250" s="14"/>
      <c r="H250" s="14"/>
    </row>
    <row r="251" spans="1:8" x14ac:dyDescent="0.2">
      <c r="A251" s="17"/>
      <c r="B251" s="17"/>
      <c r="C251" s="14"/>
      <c r="D251" s="14"/>
      <c r="E251" s="14"/>
      <c r="F251" s="14"/>
      <c r="G251" s="14"/>
      <c r="H251" s="14"/>
    </row>
    <row r="252" spans="1:8" x14ac:dyDescent="0.2">
      <c r="A252" s="17"/>
      <c r="B252" s="17"/>
      <c r="C252" s="14"/>
      <c r="D252" s="14"/>
      <c r="E252" s="14"/>
      <c r="F252" s="14"/>
      <c r="G252" s="14"/>
      <c r="H252" s="14"/>
    </row>
    <row r="253" spans="1:8" x14ac:dyDescent="0.2">
      <c r="A253" s="17"/>
      <c r="B253" s="17"/>
      <c r="C253" s="14"/>
      <c r="D253" s="14"/>
      <c r="E253" s="14"/>
      <c r="F253" s="14"/>
      <c r="G253" s="14"/>
      <c r="H253" s="14"/>
    </row>
    <row r="254" spans="1:8" x14ac:dyDescent="0.2">
      <c r="A254" s="17"/>
      <c r="B254" s="17"/>
      <c r="C254" s="14"/>
      <c r="D254" s="14"/>
      <c r="E254" s="14"/>
      <c r="F254" s="14"/>
      <c r="G254" s="14"/>
      <c r="H254" s="14"/>
    </row>
    <row r="255" spans="1:8" x14ac:dyDescent="0.2">
      <c r="A255" s="17"/>
      <c r="B255" s="17"/>
      <c r="C255" s="14"/>
      <c r="D255" s="14"/>
      <c r="E255" s="14"/>
      <c r="F255" s="14"/>
      <c r="G255" s="14"/>
      <c r="H255" s="14"/>
    </row>
    <row r="256" spans="1:8" x14ac:dyDescent="0.2">
      <c r="A256" s="17"/>
      <c r="B256" s="17"/>
      <c r="C256" s="14"/>
      <c r="D256" s="14"/>
      <c r="E256" s="14"/>
      <c r="F256" s="14"/>
      <c r="G256" s="14"/>
      <c r="H256" s="14"/>
    </row>
    <row r="257" spans="1:8" x14ac:dyDescent="0.2">
      <c r="A257" s="17"/>
      <c r="B257" s="17"/>
      <c r="C257" s="14"/>
      <c r="D257" s="14"/>
      <c r="E257" s="14"/>
      <c r="F257" s="14"/>
      <c r="G257" s="14"/>
      <c r="H257" s="14"/>
    </row>
    <row r="258" spans="1:8" x14ac:dyDescent="0.2">
      <c r="A258" s="17"/>
      <c r="B258" s="17"/>
      <c r="C258" s="14"/>
      <c r="D258" s="14"/>
      <c r="E258" s="14"/>
      <c r="F258" s="14"/>
      <c r="G258" s="14"/>
      <c r="H258" s="14"/>
    </row>
    <row r="259" spans="1:8" x14ac:dyDescent="0.2">
      <c r="A259" s="17"/>
      <c r="B259" s="17"/>
      <c r="C259" s="14"/>
      <c r="D259" s="14"/>
      <c r="E259" s="14"/>
      <c r="F259" s="14"/>
      <c r="G259" s="14"/>
      <c r="H259" s="14"/>
    </row>
    <row r="260" spans="1:8" x14ac:dyDescent="0.2">
      <c r="A260" s="17"/>
      <c r="B260" s="17"/>
      <c r="C260" s="14"/>
      <c r="D260" s="14"/>
      <c r="E260" s="14"/>
      <c r="F260" s="14"/>
      <c r="G260" s="14"/>
      <c r="H260" s="14"/>
    </row>
    <row r="261" spans="1:8" x14ac:dyDescent="0.2">
      <c r="A261" s="17"/>
      <c r="B261" s="17"/>
      <c r="C261" s="14"/>
      <c r="D261" s="14"/>
      <c r="E261" s="14"/>
      <c r="F261" s="14"/>
      <c r="G261" s="14"/>
      <c r="H261" s="14"/>
    </row>
    <row r="262" spans="1:8" x14ac:dyDescent="0.2">
      <c r="A262" s="17"/>
      <c r="B262" s="17"/>
      <c r="C262" s="14"/>
      <c r="D262" s="14"/>
      <c r="E262" s="14"/>
      <c r="F262" s="14"/>
      <c r="G262" s="14"/>
      <c r="H262" s="14"/>
    </row>
    <row r="263" spans="1:8" x14ac:dyDescent="0.2">
      <c r="A263" s="17"/>
      <c r="B263" s="17"/>
      <c r="C263" s="14"/>
      <c r="D263" s="14"/>
      <c r="E263" s="14"/>
      <c r="F263" s="14"/>
      <c r="G263" s="14"/>
      <c r="H263" s="14"/>
    </row>
    <row r="264" spans="1:8" x14ac:dyDescent="0.2">
      <c r="A264" s="17"/>
      <c r="B264" s="17"/>
      <c r="C264" s="14"/>
      <c r="D264" s="14"/>
      <c r="E264" s="14"/>
      <c r="F264" s="14"/>
      <c r="G264" s="14"/>
      <c r="H264" s="14"/>
    </row>
    <row r="265" spans="1:8" x14ac:dyDescent="0.2">
      <c r="A265" s="17"/>
      <c r="B265" s="17"/>
      <c r="C265" s="14"/>
      <c r="D265" s="14"/>
      <c r="E265" s="14"/>
      <c r="F265" s="14"/>
      <c r="G265" s="14"/>
      <c r="H265" s="14"/>
    </row>
    <row r="266" spans="1:8" x14ac:dyDescent="0.2">
      <c r="A266" s="17"/>
      <c r="B266" s="17"/>
      <c r="C266" s="14"/>
      <c r="D266" s="14"/>
      <c r="E266" s="14"/>
      <c r="F266" s="14"/>
      <c r="G266" s="14"/>
      <c r="H266" s="14"/>
    </row>
    <row r="267" spans="1:8" x14ac:dyDescent="0.2">
      <c r="A267" s="17"/>
      <c r="B267" s="17"/>
      <c r="C267" s="14"/>
      <c r="D267" s="14"/>
      <c r="E267" s="14"/>
      <c r="F267" s="14"/>
      <c r="G267" s="14"/>
      <c r="H267" s="14"/>
    </row>
    <row r="268" spans="1:8" x14ac:dyDescent="0.2">
      <c r="A268" s="17"/>
      <c r="B268" s="17"/>
      <c r="C268" s="14"/>
      <c r="D268" s="14"/>
      <c r="E268" s="14"/>
      <c r="F268" s="14"/>
      <c r="G268" s="14"/>
      <c r="H268" s="14"/>
    </row>
    <row r="269" spans="1:8" x14ac:dyDescent="0.2">
      <c r="A269" s="17"/>
      <c r="B269" s="17"/>
      <c r="C269" s="14"/>
      <c r="D269" s="14"/>
      <c r="E269" s="14"/>
      <c r="F269" s="14"/>
      <c r="G269" s="14"/>
      <c r="H269" s="14"/>
    </row>
    <row r="270" spans="1:8" x14ac:dyDescent="0.2">
      <c r="A270" s="17"/>
      <c r="B270" s="17"/>
      <c r="C270" s="14"/>
      <c r="D270" s="14"/>
      <c r="E270" s="14"/>
      <c r="F270" s="14"/>
      <c r="G270" s="14"/>
      <c r="H270" s="14"/>
    </row>
    <row r="271" spans="1:8" x14ac:dyDescent="0.2">
      <c r="A271" s="17"/>
      <c r="B271" s="17"/>
      <c r="C271" s="14"/>
      <c r="D271" s="14"/>
      <c r="E271" s="14"/>
      <c r="F271" s="14"/>
      <c r="G271" s="14"/>
      <c r="H271" s="14"/>
    </row>
    <row r="272" spans="1:8" x14ac:dyDescent="0.2">
      <c r="A272" s="17"/>
      <c r="B272" s="17"/>
      <c r="C272" s="14"/>
      <c r="D272" s="14"/>
      <c r="E272" s="14"/>
      <c r="F272" s="14"/>
      <c r="G272" s="14"/>
      <c r="H272" s="14"/>
    </row>
    <row r="273" spans="1:8" x14ac:dyDescent="0.2">
      <c r="A273" s="17"/>
      <c r="B273" s="17"/>
      <c r="C273" s="14"/>
      <c r="D273" s="14"/>
      <c r="E273" s="14"/>
      <c r="F273" s="14"/>
      <c r="G273" s="14"/>
      <c r="H273" s="14"/>
    </row>
    <row r="274" spans="1:8" x14ac:dyDescent="0.2">
      <c r="A274" s="17"/>
      <c r="B274" s="17"/>
      <c r="C274" s="14"/>
      <c r="D274" s="14"/>
      <c r="E274" s="14"/>
      <c r="F274" s="14"/>
      <c r="G274" s="14"/>
      <c r="H274" s="14"/>
    </row>
    <row r="275" spans="1:8" x14ac:dyDescent="0.2">
      <c r="A275" s="17"/>
      <c r="B275" s="17"/>
      <c r="C275" s="14"/>
      <c r="D275" s="14"/>
      <c r="E275" s="14"/>
      <c r="F275" s="14"/>
      <c r="G275" s="14"/>
      <c r="H275" s="14"/>
    </row>
    <row r="276" spans="1:8" x14ac:dyDescent="0.2">
      <c r="A276" s="17"/>
      <c r="B276" s="17"/>
      <c r="C276" s="14"/>
      <c r="D276" s="14"/>
      <c r="E276" s="14"/>
      <c r="F276" s="14"/>
      <c r="G276" s="14"/>
      <c r="H276" s="14"/>
    </row>
    <row r="277" spans="1:8" x14ac:dyDescent="0.2">
      <c r="A277" s="17"/>
      <c r="B277" s="17"/>
      <c r="C277" s="14"/>
      <c r="D277" s="14"/>
      <c r="E277" s="14"/>
      <c r="F277" s="14"/>
      <c r="G277" s="14"/>
      <c r="H277" s="14"/>
    </row>
    <row r="278" spans="1:8" x14ac:dyDescent="0.2">
      <c r="A278" s="17"/>
      <c r="B278" s="17"/>
      <c r="C278" s="14"/>
      <c r="D278" s="14"/>
      <c r="E278" s="14"/>
      <c r="F278" s="14"/>
      <c r="G278" s="14"/>
      <c r="H278" s="14"/>
    </row>
    <row r="279" spans="1:8" x14ac:dyDescent="0.2">
      <c r="A279" s="17"/>
      <c r="B279" s="17"/>
      <c r="C279" s="14"/>
      <c r="D279" s="14"/>
      <c r="E279" s="14"/>
      <c r="F279" s="14"/>
      <c r="G279" s="14"/>
      <c r="H279" s="14"/>
    </row>
    <row r="280" spans="1:8" x14ac:dyDescent="0.2">
      <c r="A280" s="17"/>
      <c r="B280" s="17"/>
      <c r="C280" s="14"/>
      <c r="D280" s="14"/>
      <c r="E280" s="14"/>
      <c r="F280" s="14"/>
      <c r="G280" s="14"/>
      <c r="H280" s="14"/>
    </row>
    <row r="281" spans="1:8" x14ac:dyDescent="0.2">
      <c r="A281" s="17"/>
      <c r="B281" s="17"/>
      <c r="C281" s="14"/>
      <c r="D281" s="14"/>
      <c r="E281" s="14"/>
      <c r="F281" s="14"/>
      <c r="G281" s="14"/>
      <c r="H281" s="14"/>
    </row>
    <row r="282" spans="1:8" x14ac:dyDescent="0.2">
      <c r="A282" s="17"/>
      <c r="B282" s="17"/>
      <c r="C282" s="14"/>
      <c r="D282" s="14"/>
      <c r="E282" s="14"/>
      <c r="F282" s="14"/>
      <c r="G282" s="14"/>
      <c r="H282" s="14"/>
    </row>
    <row r="283" spans="1:8" x14ac:dyDescent="0.2">
      <c r="A283" s="17"/>
      <c r="B283" s="17"/>
      <c r="C283" s="14"/>
      <c r="D283" s="14"/>
      <c r="E283" s="14"/>
      <c r="F283" s="14"/>
      <c r="G283" s="14"/>
      <c r="H283" s="14"/>
    </row>
    <row r="284" spans="1:8" x14ac:dyDescent="0.2">
      <c r="A284" s="17"/>
      <c r="B284" s="17"/>
      <c r="C284" s="14"/>
      <c r="D284" s="14"/>
      <c r="E284" s="14"/>
      <c r="F284" s="14"/>
      <c r="G284" s="14"/>
      <c r="H284" s="14"/>
    </row>
    <row r="285" spans="1:8" x14ac:dyDescent="0.2">
      <c r="A285" s="17"/>
      <c r="B285" s="17"/>
      <c r="C285" s="14"/>
      <c r="D285" s="14"/>
      <c r="E285" s="14"/>
      <c r="F285" s="14"/>
      <c r="G285" s="14"/>
      <c r="H285" s="14"/>
    </row>
    <row r="286" spans="1:8" x14ac:dyDescent="0.2">
      <c r="A286" s="17"/>
      <c r="B286" s="17"/>
      <c r="C286" s="14"/>
      <c r="D286" s="14"/>
      <c r="E286" s="14"/>
      <c r="F286" s="14"/>
      <c r="G286" s="14"/>
      <c r="H286" s="14"/>
    </row>
    <row r="287" spans="1:8" x14ac:dyDescent="0.2">
      <c r="A287" s="17"/>
      <c r="B287" s="17"/>
      <c r="C287" s="14"/>
      <c r="D287" s="14"/>
      <c r="E287" s="14"/>
      <c r="F287" s="14"/>
      <c r="G287" s="14"/>
      <c r="H287" s="14"/>
    </row>
    <row r="288" spans="1:8" x14ac:dyDescent="0.2">
      <c r="A288" s="17"/>
      <c r="B288" s="17"/>
      <c r="C288" s="14"/>
      <c r="D288" s="14"/>
      <c r="E288" s="14"/>
      <c r="F288" s="14"/>
      <c r="G288" s="14"/>
      <c r="H288" s="14"/>
    </row>
    <row r="289" spans="1:8" x14ac:dyDescent="0.2">
      <c r="A289" s="17"/>
      <c r="B289" s="17"/>
      <c r="C289" s="14"/>
      <c r="D289" s="14"/>
      <c r="E289" s="14"/>
      <c r="F289" s="14"/>
      <c r="G289" s="14"/>
      <c r="H289" s="14"/>
    </row>
    <row r="290" spans="1:8" x14ac:dyDescent="0.2">
      <c r="A290" s="17"/>
      <c r="B290" s="17"/>
      <c r="C290" s="14"/>
      <c r="D290" s="14"/>
      <c r="E290" s="14"/>
      <c r="F290" s="14"/>
      <c r="G290" s="14"/>
      <c r="H290" s="14"/>
    </row>
    <row r="291" spans="1:8" x14ac:dyDescent="0.2">
      <c r="A291" s="17"/>
      <c r="B291" s="17"/>
      <c r="C291" s="14"/>
      <c r="D291" s="14"/>
      <c r="E291" s="14"/>
      <c r="F291" s="14"/>
      <c r="G291" s="14"/>
      <c r="H291" s="14"/>
    </row>
    <row r="292" spans="1:8" x14ac:dyDescent="0.2">
      <c r="A292" s="17"/>
      <c r="B292" s="17"/>
      <c r="C292" s="14"/>
      <c r="D292" s="14"/>
      <c r="E292" s="14"/>
      <c r="F292" s="14"/>
      <c r="G292" s="14"/>
      <c r="H292" s="14"/>
    </row>
    <row r="293" spans="1:8" x14ac:dyDescent="0.2">
      <c r="A293" s="17"/>
      <c r="B293" s="17"/>
      <c r="C293" s="14"/>
      <c r="D293" s="14"/>
      <c r="E293" s="14"/>
      <c r="F293" s="14"/>
      <c r="G293" s="14"/>
      <c r="H293" s="14"/>
    </row>
    <row r="294" spans="1:8" x14ac:dyDescent="0.2">
      <c r="A294" s="17"/>
      <c r="B294" s="17"/>
      <c r="C294" s="14"/>
      <c r="D294" s="14"/>
      <c r="E294" s="14"/>
      <c r="F294" s="14"/>
      <c r="G294" s="14"/>
      <c r="H294" s="14"/>
    </row>
    <row r="295" spans="1:8" x14ac:dyDescent="0.2">
      <c r="A295" s="17"/>
      <c r="B295" s="17"/>
      <c r="C295" s="14"/>
      <c r="D295" s="14"/>
      <c r="E295" s="14"/>
      <c r="F295" s="14"/>
      <c r="G295" s="14"/>
      <c r="H295" s="14"/>
    </row>
    <row r="296" spans="1:8" x14ac:dyDescent="0.2">
      <c r="A296" s="17"/>
      <c r="B296" s="17"/>
      <c r="C296" s="14"/>
      <c r="D296" s="14"/>
      <c r="E296" s="14"/>
      <c r="F296" s="14"/>
      <c r="G296" s="14"/>
      <c r="H296" s="14"/>
    </row>
    <row r="297" spans="1:8" x14ac:dyDescent="0.2">
      <c r="A297" s="17"/>
      <c r="B297" s="17"/>
      <c r="C297" s="14"/>
      <c r="D297" s="14"/>
      <c r="E297" s="14"/>
      <c r="F297" s="14"/>
      <c r="G297" s="14"/>
      <c r="H297" s="14"/>
    </row>
    <row r="298" spans="1:8" x14ac:dyDescent="0.2">
      <c r="A298" s="17"/>
      <c r="B298" s="17"/>
      <c r="C298" s="14"/>
      <c r="D298" s="14"/>
      <c r="E298" s="14"/>
      <c r="F298" s="14"/>
      <c r="G298" s="14"/>
      <c r="H298" s="14"/>
    </row>
    <row r="299" spans="1:8" x14ac:dyDescent="0.2">
      <c r="A299" s="17"/>
      <c r="B299" s="17"/>
      <c r="C299" s="14"/>
      <c r="D299" s="14"/>
      <c r="E299" s="14"/>
      <c r="F299" s="14"/>
      <c r="G299" s="14"/>
      <c r="H299" s="14"/>
    </row>
    <row r="300" spans="1:8" x14ac:dyDescent="0.2">
      <c r="A300" s="17"/>
      <c r="B300" s="17"/>
      <c r="C300" s="14"/>
      <c r="D300" s="14"/>
      <c r="E300" s="14"/>
      <c r="F300" s="14"/>
      <c r="G300" s="14"/>
      <c r="H300" s="14"/>
    </row>
    <row r="301" spans="1:8" x14ac:dyDescent="0.2">
      <c r="A301" s="17"/>
      <c r="B301" s="17"/>
      <c r="C301" s="14"/>
      <c r="D301" s="14"/>
      <c r="E301" s="14"/>
      <c r="F301" s="14"/>
      <c r="G301" s="14"/>
      <c r="H301" s="14"/>
    </row>
    <row r="302" spans="1:8" x14ac:dyDescent="0.2">
      <c r="A302" s="17"/>
      <c r="B302" s="17"/>
      <c r="C302" s="14"/>
      <c r="D302" s="14"/>
      <c r="E302" s="14"/>
      <c r="F302" s="14"/>
      <c r="G302" s="14"/>
      <c r="H302" s="14"/>
    </row>
    <row r="303" spans="1:8" x14ac:dyDescent="0.2">
      <c r="A303" s="17"/>
      <c r="B303" s="17"/>
      <c r="C303" s="14"/>
      <c r="D303" s="14"/>
      <c r="E303" s="14"/>
      <c r="F303" s="14"/>
      <c r="G303" s="14"/>
      <c r="H303" s="14"/>
    </row>
    <row r="304" spans="1:8" x14ac:dyDescent="0.2">
      <c r="A304" s="17"/>
      <c r="B304" s="17"/>
      <c r="C304" s="14"/>
      <c r="D304" s="14"/>
      <c r="E304" s="14"/>
      <c r="F304" s="14"/>
      <c r="G304" s="14"/>
      <c r="H304" s="14"/>
    </row>
    <row r="305" spans="1:8" x14ac:dyDescent="0.2">
      <c r="A305" s="17"/>
      <c r="B305" s="17"/>
      <c r="C305" s="14"/>
      <c r="D305" s="14"/>
      <c r="E305" s="14"/>
      <c r="F305" s="14"/>
      <c r="G305" s="14"/>
      <c r="H305" s="14"/>
    </row>
    <row r="306" spans="1:8" x14ac:dyDescent="0.2">
      <c r="A306" s="17"/>
      <c r="B306" s="17"/>
      <c r="C306" s="14"/>
      <c r="D306" s="14"/>
      <c r="E306" s="14"/>
      <c r="F306" s="14"/>
      <c r="G306" s="14"/>
      <c r="H306" s="14"/>
    </row>
    <row r="307" spans="1:8" x14ac:dyDescent="0.2">
      <c r="A307" s="17"/>
      <c r="B307" s="17"/>
      <c r="C307" s="14"/>
      <c r="D307" s="14"/>
      <c r="E307" s="14"/>
      <c r="F307" s="14"/>
      <c r="G307" s="14"/>
      <c r="H307" s="14"/>
    </row>
    <row r="308" spans="1:8" x14ac:dyDescent="0.2">
      <c r="A308" s="17"/>
      <c r="B308" s="17"/>
      <c r="C308" s="14"/>
      <c r="D308" s="14"/>
      <c r="E308" s="14"/>
      <c r="F308" s="14"/>
      <c r="G308" s="14"/>
      <c r="H308" s="14"/>
    </row>
    <row r="309" spans="1:8" x14ac:dyDescent="0.2">
      <c r="A309" s="17"/>
      <c r="B309" s="17"/>
      <c r="C309" s="14"/>
      <c r="D309" s="14"/>
      <c r="E309" s="14"/>
      <c r="F309" s="14"/>
      <c r="G309" s="14"/>
      <c r="H309" s="14"/>
    </row>
    <row r="310" spans="1:8" x14ac:dyDescent="0.2">
      <c r="A310" s="17"/>
      <c r="B310" s="17"/>
      <c r="C310" s="14"/>
      <c r="D310" s="14"/>
      <c r="E310" s="14"/>
      <c r="F310" s="14"/>
      <c r="G310" s="14"/>
      <c r="H310" s="14"/>
    </row>
    <row r="311" spans="1:8" x14ac:dyDescent="0.2">
      <c r="A311" s="17"/>
      <c r="B311" s="17"/>
      <c r="C311" s="14"/>
      <c r="D311" s="14"/>
      <c r="E311" s="14"/>
      <c r="F311" s="14"/>
      <c r="G311" s="14"/>
      <c r="H311" s="14"/>
    </row>
    <row r="312" spans="1:8" x14ac:dyDescent="0.2">
      <c r="A312" s="17"/>
      <c r="B312" s="17"/>
      <c r="C312" s="14"/>
      <c r="D312" s="14"/>
      <c r="E312" s="14"/>
      <c r="F312" s="14"/>
      <c r="G312" s="14"/>
      <c r="H312" s="14"/>
    </row>
    <row r="313" spans="1:8" x14ac:dyDescent="0.2">
      <c r="A313" s="17"/>
      <c r="B313" s="17"/>
      <c r="C313" s="14"/>
      <c r="D313" s="14"/>
      <c r="E313" s="14"/>
      <c r="F313" s="14"/>
      <c r="G313" s="14"/>
      <c r="H313" s="14"/>
    </row>
    <row r="314" spans="1:8" x14ac:dyDescent="0.2">
      <c r="A314" s="17"/>
      <c r="B314" s="17"/>
      <c r="C314" s="14"/>
      <c r="D314" s="14"/>
      <c r="E314" s="14"/>
      <c r="F314" s="14"/>
      <c r="G314" s="14"/>
      <c r="H314" s="14"/>
    </row>
    <row r="315" spans="1:8" x14ac:dyDescent="0.2">
      <c r="A315" s="17"/>
      <c r="B315" s="17"/>
      <c r="C315" s="14"/>
      <c r="D315" s="14"/>
      <c r="E315" s="14"/>
      <c r="F315" s="14"/>
      <c r="G315" s="14"/>
      <c r="H315" s="14"/>
    </row>
    <row r="316" spans="1:8" x14ac:dyDescent="0.2">
      <c r="A316" s="17"/>
      <c r="B316" s="17"/>
      <c r="C316" s="14"/>
      <c r="D316" s="14"/>
      <c r="E316" s="14"/>
      <c r="F316" s="14"/>
      <c r="G316" s="14"/>
      <c r="H316" s="14"/>
    </row>
    <row r="317" spans="1:8" x14ac:dyDescent="0.2">
      <c r="A317" s="17"/>
      <c r="B317" s="17"/>
      <c r="C317" s="14"/>
      <c r="D317" s="14"/>
      <c r="E317" s="14"/>
      <c r="F317" s="14"/>
      <c r="G317" s="14"/>
      <c r="H317" s="14"/>
    </row>
    <row r="318" spans="1:8" x14ac:dyDescent="0.2">
      <c r="A318" s="17"/>
      <c r="B318" s="17"/>
      <c r="C318" s="14"/>
      <c r="D318" s="14"/>
      <c r="E318" s="14"/>
      <c r="F318" s="14"/>
      <c r="G318" s="14"/>
      <c r="H318" s="14"/>
    </row>
    <row r="319" spans="1:8" x14ac:dyDescent="0.2">
      <c r="A319" s="17"/>
      <c r="B319" s="17"/>
      <c r="C319" s="14"/>
      <c r="D319" s="14"/>
      <c r="E319" s="14"/>
      <c r="F319" s="14"/>
      <c r="G319" s="14"/>
      <c r="H319" s="14"/>
    </row>
    <row r="320" spans="1:8" x14ac:dyDescent="0.2">
      <c r="A320" s="17"/>
      <c r="B320" s="17"/>
      <c r="C320" s="14"/>
      <c r="D320" s="14"/>
      <c r="E320" s="14"/>
      <c r="F320" s="14"/>
      <c r="G320" s="14"/>
      <c r="H320" s="14"/>
    </row>
    <row r="321" spans="1:8" x14ac:dyDescent="0.2">
      <c r="A321" s="17"/>
      <c r="B321" s="17"/>
      <c r="C321" s="14"/>
      <c r="D321" s="14"/>
      <c r="E321" s="14"/>
      <c r="F321" s="14"/>
      <c r="G321" s="14"/>
      <c r="H321" s="14"/>
    </row>
    <row r="322" spans="1:8" x14ac:dyDescent="0.2">
      <c r="A322" s="17"/>
      <c r="B322" s="17"/>
      <c r="C322" s="14"/>
      <c r="D322" s="14"/>
      <c r="E322" s="14"/>
      <c r="F322" s="14"/>
      <c r="G322" s="14"/>
      <c r="H322" s="14"/>
    </row>
    <row r="323" spans="1:8" x14ac:dyDescent="0.2">
      <c r="A323" s="17"/>
      <c r="B323" s="17"/>
      <c r="C323" s="14"/>
      <c r="D323" s="14"/>
      <c r="E323" s="14"/>
      <c r="F323" s="14"/>
      <c r="G323" s="14"/>
      <c r="H323" s="14"/>
    </row>
    <row r="324" spans="1:8" x14ac:dyDescent="0.2">
      <c r="A324" s="17"/>
      <c r="B324" s="17"/>
      <c r="C324" s="14"/>
      <c r="D324" s="14"/>
      <c r="E324" s="14"/>
      <c r="F324" s="14"/>
      <c r="G324" s="14"/>
      <c r="H324" s="14"/>
    </row>
    <row r="325" spans="1:8" x14ac:dyDescent="0.2">
      <c r="A325" s="17"/>
      <c r="B325" s="17"/>
      <c r="C325" s="14"/>
      <c r="D325" s="14"/>
      <c r="E325" s="14"/>
      <c r="F325" s="14"/>
      <c r="G325" s="14"/>
      <c r="H325" s="14"/>
    </row>
    <row r="326" spans="1:8" x14ac:dyDescent="0.2">
      <c r="A326" s="17"/>
      <c r="B326" s="17"/>
      <c r="C326" s="14"/>
      <c r="D326" s="14"/>
      <c r="E326" s="14"/>
      <c r="F326" s="14"/>
      <c r="G326" s="14"/>
      <c r="H326" s="14"/>
    </row>
    <row r="327" spans="1:8" x14ac:dyDescent="0.2">
      <c r="A327" s="17"/>
      <c r="B327" s="17"/>
      <c r="C327" s="14"/>
      <c r="D327" s="14"/>
      <c r="E327" s="14"/>
      <c r="F327" s="14"/>
      <c r="G327" s="14"/>
      <c r="H327" s="14"/>
    </row>
    <row r="328" spans="1:8" x14ac:dyDescent="0.2">
      <c r="A328" s="17"/>
      <c r="B328" s="17"/>
      <c r="C328" s="14"/>
      <c r="D328" s="14"/>
      <c r="E328" s="14"/>
      <c r="F328" s="14"/>
      <c r="G328" s="14"/>
      <c r="H328" s="14"/>
    </row>
    <row r="329" spans="1:8" x14ac:dyDescent="0.2">
      <c r="A329" s="17"/>
      <c r="B329" s="17"/>
      <c r="C329" s="14"/>
      <c r="D329" s="14"/>
      <c r="E329" s="14"/>
      <c r="F329" s="14"/>
      <c r="G329" s="14"/>
      <c r="H329" s="14"/>
    </row>
    <row r="330" spans="1:8" x14ac:dyDescent="0.2">
      <c r="A330" s="17"/>
      <c r="B330" s="17"/>
      <c r="C330" s="14"/>
      <c r="D330" s="14"/>
      <c r="E330" s="14"/>
      <c r="F330" s="14"/>
      <c r="G330" s="14"/>
      <c r="H330" s="14"/>
    </row>
    <row r="331" spans="1:8" x14ac:dyDescent="0.2">
      <c r="A331" s="17"/>
      <c r="B331" s="17"/>
      <c r="C331" s="14"/>
      <c r="D331" s="14"/>
      <c r="E331" s="14"/>
      <c r="F331" s="14"/>
      <c r="G331" s="14"/>
      <c r="H331" s="14"/>
    </row>
    <row r="332" spans="1:8" x14ac:dyDescent="0.2">
      <c r="A332" s="17"/>
      <c r="B332" s="17"/>
      <c r="C332" s="14"/>
      <c r="D332" s="14"/>
      <c r="E332" s="14"/>
      <c r="F332" s="14"/>
      <c r="G332" s="14"/>
      <c r="H332" s="14"/>
    </row>
    <row r="333" spans="1:8" x14ac:dyDescent="0.2">
      <c r="A333" s="17"/>
      <c r="B333" s="17"/>
      <c r="C333" s="14"/>
      <c r="D333" s="14"/>
      <c r="E333" s="14"/>
      <c r="F333" s="14"/>
      <c r="G333" s="14"/>
      <c r="H333" s="14"/>
    </row>
    <row r="334" spans="1:8" x14ac:dyDescent="0.2">
      <c r="A334" s="17"/>
      <c r="B334" s="17"/>
      <c r="C334" s="14"/>
      <c r="D334" s="14"/>
      <c r="E334" s="14"/>
      <c r="F334" s="14"/>
      <c r="G334" s="14"/>
      <c r="H334" s="14"/>
    </row>
    <row r="335" spans="1:8" x14ac:dyDescent="0.2">
      <c r="A335" s="17"/>
      <c r="B335" s="17"/>
      <c r="C335" s="14"/>
      <c r="D335" s="14"/>
      <c r="E335" s="14"/>
      <c r="F335" s="14"/>
      <c r="G335" s="14"/>
      <c r="H335" s="14"/>
    </row>
    <row r="336" spans="1:8" x14ac:dyDescent="0.2">
      <c r="A336" s="17"/>
      <c r="B336" s="17"/>
      <c r="C336" s="14"/>
      <c r="D336" s="14"/>
      <c r="E336" s="14"/>
      <c r="F336" s="14"/>
      <c r="G336" s="14"/>
      <c r="H336" s="14"/>
    </row>
    <row r="337" spans="1:8" x14ac:dyDescent="0.2">
      <c r="A337" s="17"/>
      <c r="B337" s="17"/>
      <c r="C337" s="14"/>
      <c r="D337" s="14"/>
      <c r="E337" s="14"/>
      <c r="F337" s="14"/>
      <c r="G337" s="14"/>
      <c r="H337" s="14"/>
    </row>
    <row r="338" spans="1:8" x14ac:dyDescent="0.2">
      <c r="A338" s="17"/>
      <c r="B338" s="17"/>
      <c r="C338" s="14"/>
      <c r="D338" s="14"/>
      <c r="E338" s="14"/>
      <c r="F338" s="14"/>
      <c r="G338" s="14"/>
      <c r="H338" s="14"/>
    </row>
    <row r="339" spans="1:8" x14ac:dyDescent="0.2">
      <c r="A339" s="17"/>
      <c r="B339" s="17"/>
      <c r="C339" s="14"/>
      <c r="D339" s="14"/>
      <c r="E339" s="14"/>
      <c r="F339" s="14"/>
      <c r="G339" s="14"/>
      <c r="H339" s="14"/>
    </row>
    <row r="340" spans="1:8" x14ac:dyDescent="0.2">
      <c r="A340" s="17"/>
      <c r="B340" s="17"/>
      <c r="C340" s="14"/>
      <c r="D340" s="14"/>
      <c r="E340" s="14"/>
      <c r="F340" s="14"/>
      <c r="G340" s="14"/>
      <c r="H340" s="14"/>
    </row>
    <row r="341" spans="1:8" x14ac:dyDescent="0.2">
      <c r="A341" s="17"/>
      <c r="B341" s="17"/>
      <c r="C341" s="14"/>
      <c r="D341" s="14"/>
      <c r="E341" s="14"/>
      <c r="F341" s="14"/>
      <c r="G341" s="14"/>
      <c r="H341" s="14"/>
    </row>
    <row r="342" spans="1:8" x14ac:dyDescent="0.2">
      <c r="A342" s="17"/>
      <c r="B342" s="17"/>
      <c r="C342" s="14"/>
      <c r="D342" s="14"/>
      <c r="E342" s="14"/>
      <c r="F342" s="14"/>
      <c r="G342" s="14"/>
      <c r="H342" s="14"/>
    </row>
    <row r="343" spans="1:8" x14ac:dyDescent="0.2">
      <c r="A343" s="17"/>
      <c r="B343" s="17"/>
      <c r="C343" s="14"/>
      <c r="D343" s="14"/>
      <c r="E343" s="14"/>
      <c r="F343" s="14"/>
      <c r="G343" s="14"/>
      <c r="H343" s="14"/>
    </row>
    <row r="344" spans="1:8" x14ac:dyDescent="0.2">
      <c r="A344" s="17"/>
      <c r="B344" s="17"/>
      <c r="C344" s="14"/>
      <c r="D344" s="14"/>
      <c r="E344" s="14"/>
      <c r="F344" s="14"/>
      <c r="G344" s="14"/>
      <c r="H344" s="14"/>
    </row>
    <row r="345" spans="1:8" x14ac:dyDescent="0.2">
      <c r="A345" s="17"/>
      <c r="B345" s="17"/>
      <c r="C345" s="14"/>
      <c r="D345" s="14"/>
      <c r="E345" s="14"/>
      <c r="F345" s="14"/>
      <c r="G345" s="14"/>
      <c r="H345" s="14"/>
    </row>
    <row r="346" spans="1:8" x14ac:dyDescent="0.2">
      <c r="A346" s="17"/>
      <c r="B346" s="17"/>
      <c r="C346" s="14"/>
      <c r="D346" s="14"/>
      <c r="E346" s="14"/>
      <c r="F346" s="14"/>
      <c r="G346" s="14"/>
      <c r="H346" s="14"/>
    </row>
    <row r="347" spans="1:8" x14ac:dyDescent="0.2">
      <c r="A347" s="17"/>
      <c r="B347" s="17"/>
      <c r="C347" s="14"/>
      <c r="D347" s="14"/>
      <c r="E347" s="14"/>
      <c r="F347" s="14"/>
      <c r="G347" s="14"/>
      <c r="H347" s="14"/>
    </row>
    <row r="348" spans="1:8" x14ac:dyDescent="0.2">
      <c r="A348" s="17"/>
      <c r="B348" s="17"/>
      <c r="C348" s="14"/>
      <c r="D348" s="14"/>
      <c r="E348" s="14"/>
      <c r="F348" s="14"/>
      <c r="G348" s="14"/>
      <c r="H348" s="14"/>
    </row>
    <row r="349" spans="1:8" x14ac:dyDescent="0.2">
      <c r="A349" s="17"/>
      <c r="B349" s="17"/>
      <c r="C349" s="14"/>
      <c r="D349" s="14"/>
      <c r="E349" s="14"/>
      <c r="F349" s="14"/>
      <c r="G349" s="14"/>
      <c r="H349" s="14"/>
    </row>
    <row r="350" spans="1:8" x14ac:dyDescent="0.2">
      <c r="A350" s="17"/>
      <c r="B350" s="17"/>
      <c r="C350" s="14"/>
      <c r="D350" s="14"/>
      <c r="E350" s="14"/>
      <c r="F350" s="14"/>
      <c r="G350" s="14"/>
      <c r="H350" s="14"/>
    </row>
    <row r="351" spans="1:8" x14ac:dyDescent="0.2">
      <c r="A351" s="17"/>
      <c r="B351" s="17"/>
      <c r="C351" s="14"/>
      <c r="D351" s="14"/>
      <c r="E351" s="14"/>
      <c r="F351" s="14"/>
      <c r="G351" s="14"/>
      <c r="H351" s="14"/>
    </row>
    <row r="352" spans="1:8" x14ac:dyDescent="0.2">
      <c r="A352" s="17"/>
      <c r="B352" s="17"/>
      <c r="C352" s="14"/>
      <c r="D352" s="14"/>
      <c r="E352" s="14"/>
      <c r="F352" s="14"/>
      <c r="G352" s="14"/>
      <c r="H352" s="14"/>
    </row>
    <row r="353" spans="1:8" x14ac:dyDescent="0.2">
      <c r="A353" s="17"/>
      <c r="B353" s="17"/>
      <c r="C353" s="14"/>
      <c r="D353" s="14"/>
      <c r="E353" s="14"/>
      <c r="F353" s="14"/>
      <c r="G353" s="14"/>
      <c r="H353" s="14"/>
    </row>
    <row r="354" spans="1:8" x14ac:dyDescent="0.2">
      <c r="A354" s="17"/>
      <c r="B354" s="17"/>
      <c r="C354" s="14"/>
      <c r="D354" s="14"/>
      <c r="E354" s="14"/>
      <c r="F354" s="14"/>
      <c r="G354" s="14"/>
      <c r="H354" s="14"/>
    </row>
    <row r="355" spans="1:8" x14ac:dyDescent="0.2">
      <c r="A355" s="17"/>
      <c r="B355" s="17"/>
      <c r="C355" s="14"/>
      <c r="D355" s="14"/>
      <c r="E355" s="14"/>
      <c r="F355" s="14"/>
      <c r="G355" s="14"/>
      <c r="H355" s="14"/>
    </row>
    <row r="356" spans="1:8" x14ac:dyDescent="0.2">
      <c r="A356" s="17"/>
      <c r="B356" s="17"/>
      <c r="C356" s="14"/>
      <c r="D356" s="14"/>
      <c r="E356" s="14"/>
      <c r="F356" s="14"/>
      <c r="G356" s="14"/>
      <c r="H356" s="14"/>
    </row>
    <row r="357" spans="1:8" x14ac:dyDescent="0.2">
      <c r="A357" s="17"/>
      <c r="B357" s="17"/>
      <c r="C357" s="14"/>
      <c r="D357" s="14"/>
      <c r="E357" s="14"/>
      <c r="F357" s="14"/>
      <c r="G357" s="14"/>
      <c r="H357" s="14"/>
    </row>
    <row r="358" spans="1:8" x14ac:dyDescent="0.2">
      <c r="A358" s="17"/>
      <c r="B358" s="17"/>
      <c r="C358" s="14"/>
      <c r="D358" s="14"/>
      <c r="E358" s="14"/>
      <c r="F358" s="14"/>
      <c r="G358" s="14"/>
      <c r="H358" s="14"/>
    </row>
    <row r="359" spans="1:8" x14ac:dyDescent="0.2">
      <c r="A359" s="17"/>
      <c r="B359" s="17"/>
      <c r="C359" s="14"/>
      <c r="D359" s="14"/>
      <c r="E359" s="14"/>
      <c r="F359" s="14"/>
      <c r="G359" s="14"/>
      <c r="H359" s="14"/>
    </row>
    <row r="360" spans="1:8" x14ac:dyDescent="0.2">
      <c r="A360" s="17"/>
      <c r="B360" s="17"/>
      <c r="C360" s="14"/>
      <c r="D360" s="14"/>
      <c r="E360" s="14"/>
      <c r="F360" s="14"/>
      <c r="G360" s="14"/>
      <c r="H360" s="14"/>
    </row>
    <row r="361" spans="1:8" x14ac:dyDescent="0.2">
      <c r="A361" s="17"/>
      <c r="B361" s="17"/>
      <c r="C361" s="14"/>
      <c r="D361" s="14"/>
      <c r="E361" s="14"/>
      <c r="F361" s="14"/>
      <c r="G361" s="14"/>
      <c r="H361" s="14"/>
    </row>
    <row r="362" spans="1:8" x14ac:dyDescent="0.2">
      <c r="A362" s="17"/>
      <c r="B362" s="17"/>
      <c r="C362" s="14"/>
      <c r="D362" s="14"/>
      <c r="E362" s="14"/>
      <c r="F362" s="14"/>
      <c r="G362" s="14"/>
      <c r="H362" s="14"/>
    </row>
    <row r="363" spans="1:8" x14ac:dyDescent="0.2">
      <c r="A363" s="17"/>
      <c r="B363" s="17"/>
      <c r="C363" s="14"/>
      <c r="D363" s="14"/>
      <c r="E363" s="14"/>
      <c r="F363" s="14"/>
      <c r="G363" s="14"/>
      <c r="H363" s="14"/>
    </row>
    <row r="364" spans="1:8" x14ac:dyDescent="0.2">
      <c r="A364" s="17"/>
      <c r="B364" s="17"/>
      <c r="C364" s="14"/>
      <c r="D364" s="14"/>
      <c r="E364" s="14"/>
      <c r="F364" s="14"/>
      <c r="G364" s="14"/>
      <c r="H364" s="14"/>
    </row>
    <row r="365" spans="1:8" x14ac:dyDescent="0.2">
      <c r="A365" s="17"/>
      <c r="B365" s="17"/>
      <c r="C365" s="14"/>
      <c r="D365" s="14"/>
      <c r="E365" s="14"/>
      <c r="F365" s="14"/>
      <c r="G365" s="14"/>
      <c r="H365" s="14"/>
    </row>
    <row r="366" spans="1:8" x14ac:dyDescent="0.2">
      <c r="A366" s="17"/>
      <c r="B366" s="17"/>
      <c r="C366" s="14"/>
      <c r="D366" s="14"/>
      <c r="E366" s="14"/>
      <c r="F366" s="14"/>
      <c r="G366" s="14"/>
      <c r="H366" s="14"/>
    </row>
    <row r="367" spans="1:8" x14ac:dyDescent="0.2">
      <c r="A367" s="17"/>
      <c r="B367" s="17"/>
      <c r="C367" s="14"/>
      <c r="D367" s="14"/>
      <c r="E367" s="14"/>
      <c r="F367" s="14"/>
      <c r="G367" s="14"/>
      <c r="H367" s="14"/>
    </row>
    <row r="368" spans="1:8" x14ac:dyDescent="0.2">
      <c r="A368" s="17"/>
      <c r="B368" s="17"/>
      <c r="C368" s="14"/>
      <c r="D368" s="14"/>
      <c r="E368" s="14"/>
      <c r="F368" s="14"/>
      <c r="G368" s="14"/>
      <c r="H368" s="14"/>
    </row>
    <row r="369" spans="1:8" x14ac:dyDescent="0.2">
      <c r="A369" s="17"/>
      <c r="B369" s="17"/>
      <c r="C369" s="14"/>
      <c r="D369" s="14"/>
      <c r="E369" s="14"/>
      <c r="F369" s="14"/>
      <c r="G369" s="14"/>
      <c r="H369" s="14"/>
    </row>
    <row r="370" spans="1:8" x14ac:dyDescent="0.2">
      <c r="A370" s="17"/>
      <c r="B370" s="17"/>
      <c r="C370" s="14"/>
      <c r="D370" s="14"/>
      <c r="E370" s="14"/>
      <c r="F370" s="14"/>
      <c r="G370" s="14"/>
      <c r="H370" s="14"/>
    </row>
    <row r="371" spans="1:8" x14ac:dyDescent="0.2">
      <c r="A371" s="17"/>
      <c r="B371" s="17"/>
      <c r="C371" s="14"/>
      <c r="D371" s="14"/>
      <c r="E371" s="14"/>
      <c r="F371" s="14"/>
      <c r="G371" s="14"/>
      <c r="H371" s="14"/>
    </row>
    <row r="372" spans="1:8" x14ac:dyDescent="0.2">
      <c r="A372" s="17"/>
      <c r="B372" s="17"/>
      <c r="C372" s="14"/>
      <c r="D372" s="14"/>
      <c r="E372" s="14"/>
      <c r="F372" s="14"/>
      <c r="G372" s="14"/>
      <c r="H372" s="14"/>
    </row>
    <row r="373" spans="1:8" x14ac:dyDescent="0.2">
      <c r="A373" s="17"/>
      <c r="B373" s="17"/>
      <c r="C373" s="14"/>
      <c r="D373" s="14"/>
      <c r="E373" s="14"/>
      <c r="F373" s="14"/>
      <c r="G373" s="14"/>
      <c r="H373" s="14"/>
    </row>
    <row r="374" spans="1:8" x14ac:dyDescent="0.2">
      <c r="A374" s="17"/>
      <c r="B374" s="17"/>
      <c r="C374" s="14"/>
      <c r="D374" s="14"/>
      <c r="E374" s="14"/>
      <c r="F374" s="14"/>
      <c r="G374" s="14"/>
      <c r="H374" s="14"/>
    </row>
    <row r="375" spans="1:8" x14ac:dyDescent="0.2">
      <c r="A375" s="17"/>
      <c r="B375" s="17"/>
      <c r="C375" s="14"/>
      <c r="D375" s="14"/>
      <c r="E375" s="14"/>
      <c r="F375" s="14"/>
      <c r="G375" s="14"/>
      <c r="H375" s="14"/>
    </row>
    <row r="376" spans="1:8" x14ac:dyDescent="0.2">
      <c r="A376" s="17"/>
      <c r="B376" s="17"/>
      <c r="C376" s="14"/>
      <c r="D376" s="14"/>
      <c r="E376" s="14"/>
      <c r="F376" s="14"/>
      <c r="G376" s="14"/>
      <c r="H376" s="14"/>
    </row>
    <row r="377" spans="1:8" x14ac:dyDescent="0.2">
      <c r="A377" s="17"/>
      <c r="B377" s="17"/>
      <c r="C377" s="14"/>
      <c r="D377" s="14"/>
      <c r="E377" s="14"/>
      <c r="F377" s="14"/>
      <c r="G377" s="14"/>
      <c r="H377" s="14"/>
    </row>
    <row r="378" spans="1:8" x14ac:dyDescent="0.2">
      <c r="A378" s="17"/>
      <c r="B378" s="17"/>
      <c r="C378" s="14"/>
      <c r="D378" s="14"/>
      <c r="E378" s="14"/>
      <c r="F378" s="14"/>
      <c r="G378" s="14"/>
      <c r="H378" s="14"/>
    </row>
    <row r="379" spans="1:8" x14ac:dyDescent="0.2">
      <c r="A379" s="17"/>
      <c r="B379" s="17"/>
      <c r="C379" s="14"/>
      <c r="D379" s="14"/>
      <c r="E379" s="14"/>
      <c r="F379" s="14"/>
      <c r="G379" s="14"/>
      <c r="H379" s="14"/>
    </row>
    <row r="380" spans="1:8" x14ac:dyDescent="0.2">
      <c r="A380" s="17"/>
      <c r="B380" s="17"/>
      <c r="C380" s="14"/>
      <c r="D380" s="14"/>
      <c r="E380" s="14"/>
      <c r="F380" s="14"/>
      <c r="G380" s="14"/>
      <c r="H380" s="14"/>
    </row>
    <row r="381" spans="1:8" x14ac:dyDescent="0.2">
      <c r="A381" s="17"/>
      <c r="B381" s="17"/>
      <c r="C381" s="14"/>
      <c r="D381" s="14"/>
      <c r="E381" s="14"/>
      <c r="F381" s="14"/>
      <c r="G381" s="14"/>
      <c r="H381" s="14"/>
    </row>
    <row r="382" spans="1:8" x14ac:dyDescent="0.2">
      <c r="A382" s="17"/>
      <c r="B382" s="17"/>
      <c r="C382" s="14"/>
      <c r="D382" s="14"/>
      <c r="E382" s="14"/>
      <c r="F382" s="14"/>
      <c r="G382" s="14"/>
      <c r="H382" s="14"/>
    </row>
    <row r="383" spans="1:8" x14ac:dyDescent="0.2">
      <c r="A383" s="17"/>
      <c r="B383" s="17"/>
      <c r="C383" s="14"/>
      <c r="D383" s="14"/>
      <c r="E383" s="14"/>
      <c r="F383" s="14"/>
      <c r="G383" s="14"/>
      <c r="H383" s="14"/>
    </row>
    <row r="384" spans="1:8" x14ac:dyDescent="0.2">
      <c r="A384" s="17"/>
      <c r="B384" s="17"/>
      <c r="C384" s="14"/>
      <c r="D384" s="14"/>
      <c r="E384" s="14"/>
      <c r="F384" s="14"/>
      <c r="G384" s="14"/>
      <c r="H384" s="14"/>
    </row>
    <row r="385" spans="1:8" x14ac:dyDescent="0.2">
      <c r="A385" s="17"/>
      <c r="B385" s="17"/>
      <c r="C385" s="14"/>
      <c r="D385" s="14"/>
      <c r="E385" s="14"/>
      <c r="F385" s="14"/>
      <c r="G385" s="14"/>
      <c r="H385" s="14"/>
    </row>
    <row r="386" spans="1:8" x14ac:dyDescent="0.2">
      <c r="A386" s="17"/>
      <c r="B386" s="17"/>
      <c r="C386" s="14"/>
      <c r="D386" s="14"/>
      <c r="E386" s="14"/>
      <c r="F386" s="14"/>
      <c r="G386" s="14"/>
      <c r="H386" s="14"/>
    </row>
    <row r="387" spans="1:8" x14ac:dyDescent="0.2">
      <c r="A387" s="17"/>
      <c r="B387" s="17"/>
      <c r="C387" s="14"/>
      <c r="D387" s="14"/>
      <c r="E387" s="14"/>
      <c r="F387" s="14"/>
      <c r="G387" s="14"/>
      <c r="H387" s="14"/>
    </row>
    <row r="388" spans="1:8" x14ac:dyDescent="0.2">
      <c r="A388" s="17"/>
      <c r="B388" s="17"/>
      <c r="C388" s="14"/>
      <c r="D388" s="14"/>
      <c r="E388" s="14"/>
      <c r="F388" s="14"/>
      <c r="G388" s="14"/>
      <c r="H388" s="14"/>
    </row>
    <row r="389" spans="1:8" x14ac:dyDescent="0.2">
      <c r="A389" s="17"/>
      <c r="B389" s="17"/>
      <c r="C389" s="14"/>
      <c r="D389" s="14"/>
      <c r="E389" s="14"/>
      <c r="F389" s="14"/>
      <c r="G389" s="14"/>
      <c r="H389" s="14"/>
    </row>
    <row r="390" spans="1:8" x14ac:dyDescent="0.2">
      <c r="A390" s="17"/>
      <c r="B390" s="17"/>
      <c r="C390" s="14"/>
      <c r="D390" s="14"/>
      <c r="E390" s="14"/>
      <c r="F390" s="14"/>
      <c r="G390" s="14"/>
      <c r="H390" s="14"/>
    </row>
    <row r="391" spans="1:8" x14ac:dyDescent="0.2">
      <c r="A391" s="17"/>
      <c r="B391" s="17"/>
      <c r="C391" s="14"/>
      <c r="D391" s="14"/>
      <c r="E391" s="14"/>
      <c r="F391" s="14"/>
      <c r="G391" s="14"/>
      <c r="H391" s="14"/>
    </row>
    <row r="392" spans="1:8" x14ac:dyDescent="0.2">
      <c r="A392" s="17"/>
      <c r="B392" s="17"/>
      <c r="C392" s="14"/>
      <c r="D392" s="14"/>
      <c r="E392" s="14"/>
      <c r="F392" s="14"/>
      <c r="G392" s="14"/>
      <c r="H392" s="14"/>
    </row>
    <row r="393" spans="1:8" x14ac:dyDescent="0.2">
      <c r="A393" s="17"/>
      <c r="B393" s="17"/>
      <c r="C393" s="14"/>
      <c r="D393" s="14"/>
      <c r="E393" s="14"/>
      <c r="F393" s="14"/>
      <c r="G393" s="14"/>
      <c r="H393" s="14"/>
    </row>
    <row r="394" spans="1:8" x14ac:dyDescent="0.2">
      <c r="A394" s="17"/>
      <c r="B394" s="17"/>
      <c r="C394" s="14"/>
      <c r="D394" s="14"/>
      <c r="E394" s="14"/>
      <c r="F394" s="14"/>
      <c r="G394" s="14"/>
      <c r="H394" s="14"/>
    </row>
    <row r="395" spans="1:8" x14ac:dyDescent="0.2">
      <c r="A395" s="17"/>
      <c r="B395" s="17"/>
      <c r="C395" s="14"/>
      <c r="D395" s="14"/>
      <c r="E395" s="14"/>
      <c r="F395" s="14"/>
      <c r="G395" s="14"/>
      <c r="H395" s="14"/>
    </row>
    <row r="396" spans="1:8" x14ac:dyDescent="0.2">
      <c r="A396" s="17"/>
      <c r="B396" s="17"/>
      <c r="C396" s="14"/>
      <c r="D396" s="14"/>
      <c r="E396" s="14"/>
      <c r="F396" s="14"/>
      <c r="G396" s="14"/>
      <c r="H396" s="14"/>
    </row>
    <row r="397" spans="1:8" x14ac:dyDescent="0.2">
      <c r="A397" s="17"/>
      <c r="B397" s="17"/>
      <c r="C397" s="14"/>
      <c r="D397" s="14"/>
      <c r="E397" s="14"/>
      <c r="F397" s="14"/>
      <c r="G397" s="14"/>
      <c r="H397" s="14"/>
    </row>
    <row r="398" spans="1:8" x14ac:dyDescent="0.2">
      <c r="A398" s="17"/>
      <c r="B398" s="17"/>
      <c r="C398" s="14"/>
      <c r="D398" s="14"/>
      <c r="E398" s="14"/>
      <c r="F398" s="14"/>
      <c r="G398" s="14"/>
      <c r="H398" s="14"/>
    </row>
    <row r="399" spans="1:8" x14ac:dyDescent="0.2">
      <c r="A399" s="17"/>
      <c r="B399" s="17"/>
      <c r="C399" s="14"/>
      <c r="D399" s="14"/>
      <c r="E399" s="14"/>
      <c r="F399" s="14"/>
      <c r="G399" s="14"/>
      <c r="H399" s="14"/>
    </row>
    <row r="400" spans="1:8" x14ac:dyDescent="0.2">
      <c r="A400" s="17"/>
      <c r="B400" s="17"/>
      <c r="C400" s="14"/>
      <c r="D400" s="14"/>
      <c r="E400" s="14"/>
      <c r="F400" s="14"/>
      <c r="G400" s="14"/>
      <c r="H400" s="14"/>
    </row>
    <row r="401" spans="1:8" x14ac:dyDescent="0.2">
      <c r="A401" s="17"/>
      <c r="B401" s="17"/>
      <c r="C401" s="14"/>
      <c r="D401" s="14"/>
      <c r="E401" s="14"/>
      <c r="F401" s="14"/>
      <c r="G401" s="14"/>
      <c r="H401" s="14"/>
    </row>
    <row r="402" spans="1:8" x14ac:dyDescent="0.2">
      <c r="A402" s="17"/>
      <c r="B402" s="17"/>
      <c r="C402" s="14"/>
      <c r="D402" s="14"/>
      <c r="E402" s="14"/>
      <c r="F402" s="14"/>
      <c r="G402" s="14"/>
      <c r="H402" s="14"/>
    </row>
    <row r="403" spans="1:8" x14ac:dyDescent="0.2">
      <c r="A403" s="17"/>
      <c r="B403" s="17"/>
      <c r="C403" s="14"/>
      <c r="D403" s="14"/>
      <c r="E403" s="14"/>
      <c r="F403" s="14"/>
      <c r="G403" s="14"/>
      <c r="H403" s="14"/>
    </row>
    <row r="404" spans="1:8" x14ac:dyDescent="0.2">
      <c r="A404" s="17"/>
      <c r="B404" s="17"/>
      <c r="C404" s="14"/>
      <c r="D404" s="14"/>
      <c r="E404" s="14"/>
      <c r="F404" s="14"/>
      <c r="G404" s="14"/>
      <c r="H404" s="14"/>
    </row>
    <row r="405" spans="1:8" x14ac:dyDescent="0.2">
      <c r="A405" s="17"/>
      <c r="B405" s="17"/>
      <c r="C405" s="14"/>
      <c r="D405" s="14"/>
      <c r="E405" s="14"/>
      <c r="F405" s="14"/>
      <c r="G405" s="14"/>
      <c r="H405" s="14"/>
    </row>
    <row r="406" spans="1:8" x14ac:dyDescent="0.2">
      <c r="A406" s="17"/>
      <c r="B406" s="17"/>
      <c r="C406" s="14"/>
      <c r="D406" s="14"/>
      <c r="E406" s="14"/>
      <c r="F406" s="14"/>
      <c r="G406" s="14"/>
      <c r="H406" s="14"/>
    </row>
    <row r="407" spans="1:8" x14ac:dyDescent="0.2">
      <c r="A407" s="17"/>
      <c r="B407" s="17"/>
      <c r="C407" s="14"/>
      <c r="D407" s="14"/>
      <c r="E407" s="14"/>
      <c r="F407" s="14"/>
      <c r="G407" s="14"/>
      <c r="H407" s="14"/>
    </row>
    <row r="408" spans="1:8" x14ac:dyDescent="0.2">
      <c r="A408" s="17"/>
      <c r="B408" s="17"/>
      <c r="C408" s="14"/>
      <c r="D408" s="14"/>
      <c r="E408" s="14"/>
      <c r="F408" s="14"/>
      <c r="G408" s="14"/>
      <c r="H408" s="14"/>
    </row>
    <row r="409" spans="1:8" x14ac:dyDescent="0.2">
      <c r="A409" s="17"/>
      <c r="B409" s="17"/>
      <c r="C409" s="14"/>
      <c r="D409" s="14"/>
      <c r="E409" s="14"/>
      <c r="F409" s="14"/>
      <c r="G409" s="14"/>
      <c r="H409" s="14"/>
    </row>
    <row r="410" spans="1:8" x14ac:dyDescent="0.2">
      <c r="A410" s="17"/>
      <c r="B410" s="17"/>
      <c r="C410" s="14"/>
      <c r="D410" s="14"/>
      <c r="E410" s="14"/>
      <c r="F410" s="14"/>
      <c r="G410" s="14"/>
      <c r="H410" s="14"/>
    </row>
    <row r="411" spans="1:8" x14ac:dyDescent="0.2">
      <c r="A411" s="17"/>
      <c r="B411" s="17"/>
      <c r="C411" s="14"/>
      <c r="D411" s="14"/>
      <c r="E411" s="14"/>
      <c r="F411" s="14"/>
      <c r="G411" s="14"/>
      <c r="H411" s="14"/>
    </row>
    <row r="412" spans="1:8" x14ac:dyDescent="0.2">
      <c r="A412" s="17"/>
      <c r="B412" s="17"/>
      <c r="C412" s="14"/>
      <c r="D412" s="14"/>
      <c r="E412" s="14"/>
      <c r="F412" s="14"/>
      <c r="G412" s="14"/>
      <c r="H412" s="14"/>
    </row>
    <row r="413" spans="1:8" x14ac:dyDescent="0.2">
      <c r="A413" s="17"/>
      <c r="B413" s="17"/>
      <c r="C413" s="14"/>
      <c r="D413" s="14"/>
      <c r="E413" s="14"/>
      <c r="F413" s="14"/>
      <c r="G413" s="14"/>
      <c r="H413" s="14"/>
    </row>
    <row r="414" spans="1:8" x14ac:dyDescent="0.2">
      <c r="A414" s="17"/>
      <c r="B414" s="17"/>
      <c r="C414" s="14"/>
      <c r="D414" s="14"/>
      <c r="E414" s="14"/>
      <c r="F414" s="14"/>
      <c r="G414" s="14"/>
      <c r="H414" s="14"/>
    </row>
    <row r="415" spans="1:8" x14ac:dyDescent="0.2">
      <c r="A415" s="17"/>
      <c r="B415" s="17"/>
      <c r="C415" s="14"/>
      <c r="D415" s="14"/>
      <c r="E415" s="14"/>
      <c r="F415" s="14"/>
      <c r="G415" s="14"/>
      <c r="H415" s="14"/>
    </row>
    <row r="416" spans="1:8" x14ac:dyDescent="0.2">
      <c r="A416" s="17"/>
      <c r="B416" s="17"/>
      <c r="C416" s="14"/>
      <c r="D416" s="14"/>
      <c r="E416" s="14"/>
      <c r="F416" s="14"/>
      <c r="G416" s="14"/>
      <c r="H416" s="14"/>
    </row>
    <row r="417" spans="1:8" x14ac:dyDescent="0.2">
      <c r="A417" s="17"/>
      <c r="B417" s="17"/>
      <c r="C417" s="14"/>
      <c r="D417" s="14"/>
      <c r="E417" s="14"/>
      <c r="F417" s="14"/>
      <c r="G417" s="14"/>
      <c r="H417" s="14"/>
    </row>
    <row r="418" spans="1:8" x14ac:dyDescent="0.2">
      <c r="A418" s="17"/>
      <c r="B418" s="17"/>
      <c r="C418" s="14"/>
      <c r="D418" s="14"/>
      <c r="E418" s="14"/>
      <c r="F418" s="14"/>
      <c r="G418" s="14"/>
      <c r="H418" s="14"/>
    </row>
    <row r="419" spans="1:8" x14ac:dyDescent="0.2">
      <c r="A419" s="17"/>
      <c r="B419" s="17"/>
      <c r="C419" s="14"/>
      <c r="D419" s="14"/>
      <c r="E419" s="14"/>
      <c r="F419" s="14"/>
      <c r="G419" s="14"/>
      <c r="H419" s="14"/>
    </row>
    <row r="420" spans="1:8" x14ac:dyDescent="0.2">
      <c r="A420" s="17"/>
      <c r="B420" s="17"/>
      <c r="C420" s="14"/>
      <c r="D420" s="14"/>
      <c r="E420" s="14"/>
      <c r="F420" s="14"/>
      <c r="G420" s="14"/>
      <c r="H420" s="14"/>
    </row>
    <row r="421" spans="1:8" x14ac:dyDescent="0.2">
      <c r="A421" s="17"/>
      <c r="B421" s="17"/>
      <c r="C421" s="14"/>
      <c r="D421" s="14"/>
      <c r="E421" s="14"/>
      <c r="F421" s="14"/>
      <c r="G421" s="14"/>
      <c r="H421" s="14"/>
    </row>
    <row r="422" spans="1:8" x14ac:dyDescent="0.2">
      <c r="A422" s="17"/>
      <c r="B422" s="17"/>
      <c r="C422" s="14"/>
      <c r="D422" s="14"/>
      <c r="E422" s="14"/>
      <c r="F422" s="14"/>
      <c r="G422" s="14"/>
      <c r="H422" s="14"/>
    </row>
    <row r="423" spans="1:8" x14ac:dyDescent="0.2">
      <c r="A423" s="17"/>
      <c r="B423" s="17"/>
      <c r="C423" s="14"/>
      <c r="D423" s="14"/>
      <c r="E423" s="14"/>
      <c r="F423" s="14"/>
      <c r="G423" s="14"/>
      <c r="H423" s="14"/>
    </row>
    <row r="424" spans="1:8" x14ac:dyDescent="0.2">
      <c r="A424" s="17"/>
      <c r="B424" s="17"/>
      <c r="C424" s="14"/>
      <c r="D424" s="14"/>
      <c r="E424" s="14"/>
      <c r="F424" s="14"/>
      <c r="G424" s="14"/>
      <c r="H424" s="14"/>
    </row>
    <row r="425" spans="1:8" x14ac:dyDescent="0.2">
      <c r="A425" s="17"/>
      <c r="B425" s="17"/>
      <c r="C425" s="14"/>
      <c r="D425" s="14"/>
      <c r="E425" s="14"/>
      <c r="F425" s="14"/>
      <c r="G425" s="14"/>
      <c r="H425" s="14"/>
    </row>
    <row r="426" spans="1:8" x14ac:dyDescent="0.2">
      <c r="A426" s="17"/>
      <c r="B426" s="17"/>
      <c r="C426" s="14"/>
      <c r="D426" s="14"/>
      <c r="E426" s="14"/>
      <c r="F426" s="14"/>
      <c r="G426" s="14"/>
      <c r="H426" s="14"/>
    </row>
    <row r="427" spans="1:8" x14ac:dyDescent="0.2">
      <c r="A427" s="17"/>
      <c r="B427" s="17"/>
      <c r="C427" s="14"/>
      <c r="D427" s="14"/>
      <c r="E427" s="14"/>
      <c r="F427" s="14"/>
      <c r="G427" s="14"/>
      <c r="H427" s="14"/>
    </row>
    <row r="428" spans="1:8" x14ac:dyDescent="0.2">
      <c r="A428" s="17"/>
      <c r="B428" s="17"/>
      <c r="C428" s="14"/>
      <c r="D428" s="14"/>
      <c r="E428" s="14"/>
      <c r="F428" s="14"/>
      <c r="G428" s="14"/>
      <c r="H428" s="14"/>
    </row>
    <row r="429" spans="1:8" x14ac:dyDescent="0.2">
      <c r="A429" s="17"/>
      <c r="B429" s="17"/>
      <c r="C429" s="14"/>
      <c r="D429" s="14"/>
      <c r="E429" s="14"/>
      <c r="F429" s="14"/>
      <c r="G429" s="14"/>
      <c r="H429" s="14"/>
    </row>
    <row r="430" spans="1:8" x14ac:dyDescent="0.2">
      <c r="A430" s="17"/>
      <c r="B430" s="17"/>
      <c r="C430" s="14"/>
      <c r="D430" s="14"/>
      <c r="E430" s="14"/>
      <c r="F430" s="14"/>
      <c r="G430" s="14"/>
      <c r="H430" s="14"/>
    </row>
    <row r="431" spans="1:8" x14ac:dyDescent="0.2">
      <c r="A431" s="17"/>
      <c r="B431" s="17"/>
      <c r="C431" s="14"/>
      <c r="D431" s="14"/>
      <c r="E431" s="14"/>
      <c r="F431" s="14"/>
      <c r="G431" s="14"/>
      <c r="H431" s="14"/>
    </row>
    <row r="432" spans="1:8" x14ac:dyDescent="0.2">
      <c r="A432" s="17"/>
      <c r="B432" s="17"/>
      <c r="C432" s="14"/>
      <c r="D432" s="14"/>
      <c r="E432" s="14"/>
      <c r="F432" s="14"/>
      <c r="G432" s="14"/>
      <c r="H432" s="14"/>
    </row>
    <row r="433" spans="1:8" x14ac:dyDescent="0.2">
      <c r="A433" s="17"/>
      <c r="B433" s="17"/>
      <c r="C433" s="14"/>
      <c r="D433" s="14"/>
      <c r="E433" s="14"/>
      <c r="F433" s="14"/>
      <c r="G433" s="14"/>
      <c r="H433" s="14"/>
    </row>
    <row r="434" spans="1:8" x14ac:dyDescent="0.2">
      <c r="A434" s="17"/>
      <c r="B434" s="17"/>
      <c r="C434" s="14"/>
      <c r="D434" s="14"/>
      <c r="E434" s="14"/>
      <c r="F434" s="14"/>
      <c r="G434" s="14"/>
      <c r="H434" s="14"/>
    </row>
    <row r="435" spans="1:8" x14ac:dyDescent="0.2">
      <c r="A435" s="17"/>
      <c r="B435" s="17"/>
      <c r="C435" s="14"/>
      <c r="D435" s="14"/>
      <c r="E435" s="14"/>
      <c r="F435" s="14"/>
      <c r="G435" s="14"/>
      <c r="H435" s="14"/>
    </row>
    <row r="436" spans="1:8" x14ac:dyDescent="0.2">
      <c r="A436" s="17"/>
      <c r="B436" s="17"/>
      <c r="C436" s="14"/>
      <c r="D436" s="14"/>
      <c r="E436" s="14"/>
      <c r="F436" s="14"/>
      <c r="G436" s="14"/>
      <c r="H436" s="14"/>
    </row>
    <row r="437" spans="1:8" x14ac:dyDescent="0.2">
      <c r="A437" s="17"/>
      <c r="B437" s="17"/>
      <c r="C437" s="14"/>
      <c r="D437" s="14"/>
      <c r="E437" s="14"/>
      <c r="F437" s="14"/>
      <c r="G437" s="14"/>
      <c r="H437" s="14"/>
    </row>
    <row r="438" spans="1:8" x14ac:dyDescent="0.2">
      <c r="A438" s="17"/>
      <c r="B438" s="17"/>
      <c r="C438" s="14"/>
      <c r="D438" s="14"/>
      <c r="E438" s="14"/>
      <c r="F438" s="14"/>
      <c r="G438" s="14"/>
      <c r="H438" s="14"/>
    </row>
    <row r="439" spans="1:8" x14ac:dyDescent="0.2">
      <c r="A439" s="17"/>
      <c r="B439" s="17"/>
      <c r="C439" s="14"/>
      <c r="D439" s="14"/>
      <c r="E439" s="14"/>
      <c r="F439" s="14"/>
      <c r="G439" s="14"/>
      <c r="H439" s="14"/>
    </row>
    <row r="440" spans="1:8" x14ac:dyDescent="0.2">
      <c r="A440" s="17"/>
      <c r="B440" s="17"/>
      <c r="C440" s="14"/>
      <c r="D440" s="14"/>
      <c r="E440" s="14"/>
      <c r="F440" s="14"/>
      <c r="G440" s="14"/>
      <c r="H440" s="14"/>
    </row>
    <row r="441" spans="1:8" x14ac:dyDescent="0.2">
      <c r="A441" s="17"/>
      <c r="B441" s="17"/>
      <c r="C441" s="14"/>
      <c r="D441" s="14"/>
      <c r="E441" s="14"/>
      <c r="F441" s="14"/>
      <c r="G441" s="14"/>
      <c r="H441" s="14"/>
    </row>
    <row r="442" spans="1:8" x14ac:dyDescent="0.2">
      <c r="A442" s="17"/>
      <c r="B442" s="17"/>
      <c r="C442" s="14"/>
      <c r="D442" s="14"/>
      <c r="E442" s="14"/>
      <c r="F442" s="14"/>
      <c r="G442" s="14"/>
      <c r="H442" s="14"/>
    </row>
    <row r="443" spans="1:8" x14ac:dyDescent="0.2">
      <c r="A443" s="17"/>
      <c r="B443" s="17"/>
      <c r="C443" s="14"/>
      <c r="D443" s="14"/>
      <c r="E443" s="14"/>
      <c r="F443" s="14"/>
      <c r="G443" s="14"/>
      <c r="H443" s="14"/>
    </row>
    <row r="444" spans="1:8" x14ac:dyDescent="0.2">
      <c r="A444" s="17"/>
      <c r="B444" s="17"/>
      <c r="C444" s="14"/>
      <c r="D444" s="14"/>
      <c r="E444" s="14"/>
      <c r="F444" s="14"/>
      <c r="G444" s="14"/>
      <c r="H444" s="14"/>
    </row>
    <row r="445" spans="1:8" x14ac:dyDescent="0.2">
      <c r="A445" s="17"/>
      <c r="B445" s="17"/>
      <c r="C445" s="14"/>
      <c r="D445" s="14"/>
      <c r="E445" s="14"/>
      <c r="F445" s="14"/>
      <c r="G445" s="14"/>
      <c r="H445" s="14"/>
    </row>
    <row r="446" spans="1:8" x14ac:dyDescent="0.2">
      <c r="A446" s="17"/>
      <c r="B446" s="17"/>
      <c r="C446" s="14"/>
      <c r="D446" s="14"/>
      <c r="E446" s="14"/>
      <c r="F446" s="14"/>
      <c r="G446" s="14"/>
      <c r="H446" s="14"/>
    </row>
    <row r="447" spans="1:8" x14ac:dyDescent="0.2">
      <c r="A447" s="17"/>
      <c r="B447" s="17"/>
      <c r="C447" s="14"/>
      <c r="D447" s="14"/>
      <c r="E447" s="14"/>
      <c r="F447" s="14"/>
      <c r="G447" s="14"/>
      <c r="H447" s="14"/>
    </row>
    <row r="448" spans="1:8" x14ac:dyDescent="0.2">
      <c r="A448" s="17"/>
      <c r="B448" s="17"/>
      <c r="C448" s="14"/>
      <c r="D448" s="14"/>
      <c r="E448" s="14"/>
      <c r="F448" s="14"/>
      <c r="G448" s="14"/>
      <c r="H448" s="14"/>
    </row>
    <row r="449" spans="1:8" x14ac:dyDescent="0.2">
      <c r="A449" s="17"/>
      <c r="B449" s="17"/>
      <c r="C449" s="14"/>
      <c r="D449" s="14"/>
      <c r="E449" s="14"/>
      <c r="F449" s="14"/>
      <c r="G449" s="14"/>
      <c r="H449" s="14"/>
    </row>
    <row r="450" spans="1:8" x14ac:dyDescent="0.2">
      <c r="A450" s="17"/>
      <c r="B450" s="17"/>
      <c r="C450" s="14"/>
      <c r="D450" s="14"/>
      <c r="E450" s="14"/>
      <c r="F450" s="14"/>
      <c r="G450" s="14"/>
      <c r="H450" s="14"/>
    </row>
    <row r="451" spans="1:8" x14ac:dyDescent="0.2">
      <c r="A451" s="17"/>
      <c r="B451" s="17"/>
      <c r="C451" s="14"/>
      <c r="D451" s="14"/>
      <c r="E451" s="14"/>
      <c r="F451" s="14"/>
      <c r="G451" s="14"/>
      <c r="H451" s="14"/>
    </row>
    <row r="452" spans="1:8" x14ac:dyDescent="0.2">
      <c r="A452" s="17"/>
      <c r="B452" s="17"/>
      <c r="C452" s="14"/>
      <c r="D452" s="14"/>
      <c r="E452" s="14"/>
      <c r="F452" s="14"/>
      <c r="G452" s="14"/>
      <c r="H452" s="14"/>
    </row>
    <row r="453" spans="1:8" x14ac:dyDescent="0.2">
      <c r="A453" s="17"/>
      <c r="B453" s="17"/>
      <c r="C453" s="14"/>
      <c r="D453" s="14"/>
      <c r="E453" s="14"/>
      <c r="F453" s="14"/>
      <c r="G453" s="14"/>
      <c r="H453" s="14"/>
    </row>
    <row r="454" spans="1:8" x14ac:dyDescent="0.2">
      <c r="A454" s="17"/>
      <c r="B454" s="17"/>
      <c r="C454" s="14"/>
      <c r="D454" s="14"/>
      <c r="E454" s="14"/>
      <c r="F454" s="14"/>
      <c r="G454" s="14"/>
      <c r="H454" s="14"/>
    </row>
    <row r="455" spans="1:8" x14ac:dyDescent="0.2">
      <c r="A455" s="17"/>
      <c r="B455" s="17"/>
      <c r="C455" s="14"/>
      <c r="D455" s="14"/>
      <c r="E455" s="14"/>
      <c r="F455" s="14"/>
      <c r="G455" s="14"/>
      <c r="H455" s="14"/>
    </row>
    <row r="456" spans="1:8" x14ac:dyDescent="0.2">
      <c r="A456" s="17"/>
      <c r="B456" s="17"/>
      <c r="C456" s="14"/>
      <c r="D456" s="14"/>
      <c r="E456" s="14"/>
      <c r="F456" s="14"/>
      <c r="G456" s="14"/>
      <c r="H456" s="14"/>
    </row>
    <row r="457" spans="1:8" x14ac:dyDescent="0.2">
      <c r="A457" s="17"/>
      <c r="B457" s="17"/>
      <c r="C457" s="14"/>
      <c r="D457" s="14"/>
      <c r="E457" s="14"/>
      <c r="F457" s="14"/>
      <c r="G457" s="14"/>
      <c r="H457" s="14"/>
    </row>
    <row r="458" spans="1:8" x14ac:dyDescent="0.2">
      <c r="A458" s="17"/>
      <c r="B458" s="17"/>
      <c r="C458" s="14"/>
      <c r="D458" s="14"/>
      <c r="E458" s="14"/>
      <c r="F458" s="14"/>
      <c r="G458" s="14"/>
      <c r="H458" s="14"/>
    </row>
    <row r="459" spans="1:8" x14ac:dyDescent="0.2">
      <c r="A459" s="17"/>
      <c r="B459" s="17"/>
      <c r="C459" s="14"/>
      <c r="D459" s="14"/>
      <c r="E459" s="14"/>
      <c r="F459" s="14"/>
      <c r="G459" s="14"/>
      <c r="H459" s="14"/>
    </row>
    <row r="460" spans="1:8" x14ac:dyDescent="0.2">
      <c r="A460" s="17"/>
      <c r="B460" s="17"/>
      <c r="C460" s="14"/>
      <c r="D460" s="14"/>
      <c r="E460" s="14"/>
      <c r="F460" s="14"/>
      <c r="G460" s="14"/>
      <c r="H460" s="14"/>
    </row>
    <row r="461" spans="1:8" x14ac:dyDescent="0.2">
      <c r="A461" s="17"/>
      <c r="B461" s="17"/>
      <c r="C461" s="14"/>
      <c r="D461" s="14"/>
      <c r="E461" s="14"/>
      <c r="F461" s="14"/>
      <c r="G461" s="14"/>
      <c r="H461" s="14"/>
    </row>
    <row r="462" spans="1:8" x14ac:dyDescent="0.2">
      <c r="A462" s="17"/>
      <c r="B462" s="17"/>
      <c r="C462" s="14"/>
      <c r="D462" s="14"/>
      <c r="E462" s="14"/>
      <c r="F462" s="14"/>
      <c r="G462" s="14"/>
      <c r="H462" s="14"/>
    </row>
    <row r="463" spans="1:8" x14ac:dyDescent="0.2">
      <c r="A463" s="17"/>
      <c r="B463" s="17"/>
      <c r="C463" s="14"/>
      <c r="D463" s="14"/>
      <c r="E463" s="14"/>
      <c r="F463" s="14"/>
      <c r="G463" s="14"/>
      <c r="H463" s="14"/>
    </row>
    <row r="464" spans="1:8" x14ac:dyDescent="0.2">
      <c r="A464" s="17"/>
      <c r="B464" s="17"/>
      <c r="C464" s="14"/>
      <c r="D464" s="14"/>
      <c r="E464" s="14"/>
      <c r="F464" s="14"/>
      <c r="G464" s="14"/>
      <c r="H464" s="14"/>
    </row>
    <row r="465" spans="1:8" x14ac:dyDescent="0.2">
      <c r="A465" s="17"/>
      <c r="B465" s="17"/>
      <c r="C465" s="14"/>
      <c r="D465" s="14"/>
      <c r="E465" s="14"/>
      <c r="F465" s="14"/>
      <c r="G465" s="14"/>
      <c r="H465" s="14"/>
    </row>
    <row r="466" spans="1:8" x14ac:dyDescent="0.2">
      <c r="A466" s="17"/>
      <c r="B466" s="17"/>
      <c r="C466" s="14"/>
      <c r="D466" s="14"/>
      <c r="E466" s="14"/>
      <c r="F466" s="14"/>
      <c r="G466" s="14"/>
      <c r="H466" s="14"/>
    </row>
    <row r="467" spans="1:8" x14ac:dyDescent="0.2">
      <c r="A467" s="17"/>
      <c r="B467" s="17"/>
      <c r="C467" s="14"/>
      <c r="D467" s="14"/>
      <c r="E467" s="14"/>
      <c r="F467" s="14"/>
      <c r="G467" s="14"/>
      <c r="H467" s="14"/>
    </row>
    <row r="468" spans="1:8" x14ac:dyDescent="0.2">
      <c r="A468" s="17"/>
      <c r="B468" s="17"/>
      <c r="C468" s="14"/>
      <c r="D468" s="14"/>
      <c r="E468" s="14"/>
      <c r="F468" s="14"/>
      <c r="G468" s="14"/>
      <c r="H468" s="14"/>
    </row>
    <row r="469" spans="1:8" x14ac:dyDescent="0.2">
      <c r="A469" s="17"/>
      <c r="B469" s="17"/>
      <c r="C469" s="14"/>
      <c r="D469" s="14"/>
      <c r="E469" s="14"/>
      <c r="F469" s="14"/>
      <c r="G469" s="14"/>
      <c r="H469" s="14"/>
    </row>
    <row r="470" spans="1:8" x14ac:dyDescent="0.2">
      <c r="A470" s="17"/>
      <c r="B470" s="17"/>
      <c r="C470" s="14"/>
      <c r="D470" s="14"/>
      <c r="E470" s="14"/>
      <c r="F470" s="14"/>
      <c r="G470" s="14"/>
      <c r="H470" s="14"/>
    </row>
    <row r="471" spans="1:8" x14ac:dyDescent="0.2">
      <c r="A471" s="17"/>
      <c r="B471" s="17"/>
      <c r="C471" s="14"/>
      <c r="D471" s="14"/>
      <c r="E471" s="14"/>
      <c r="F471" s="14"/>
      <c r="G471" s="14"/>
      <c r="H471" s="14"/>
    </row>
    <row r="472" spans="1:8" x14ac:dyDescent="0.2">
      <c r="A472" s="17"/>
      <c r="B472" s="17"/>
      <c r="C472" s="14"/>
      <c r="D472" s="14"/>
      <c r="E472" s="14"/>
      <c r="F472" s="14"/>
      <c r="G472" s="14"/>
      <c r="H472" s="14"/>
    </row>
    <row r="473" spans="1:8" x14ac:dyDescent="0.2">
      <c r="A473" s="17"/>
      <c r="B473" s="17"/>
      <c r="C473" s="14"/>
      <c r="D473" s="14"/>
      <c r="E473" s="14"/>
      <c r="F473" s="14"/>
      <c r="G473" s="14"/>
      <c r="H473" s="14"/>
    </row>
    <row r="474" spans="1:8" x14ac:dyDescent="0.2">
      <c r="A474" s="17"/>
      <c r="B474" s="17"/>
      <c r="C474" s="14"/>
      <c r="D474" s="14"/>
      <c r="E474" s="14"/>
      <c r="F474" s="14"/>
      <c r="G474" s="14"/>
      <c r="H474" s="14"/>
    </row>
    <row r="475" spans="1:8" x14ac:dyDescent="0.2">
      <c r="A475" s="17"/>
      <c r="B475" s="17"/>
      <c r="C475" s="14"/>
      <c r="D475" s="14"/>
      <c r="E475" s="14"/>
      <c r="F475" s="14"/>
      <c r="G475" s="14"/>
      <c r="H475" s="14"/>
    </row>
    <row r="476" spans="1:8" x14ac:dyDescent="0.2">
      <c r="A476" s="17"/>
      <c r="B476" s="17"/>
      <c r="C476" s="14"/>
      <c r="D476" s="14"/>
      <c r="E476" s="14"/>
      <c r="F476" s="14"/>
      <c r="G476" s="14"/>
      <c r="H476" s="14"/>
    </row>
    <row r="477" spans="1:8" x14ac:dyDescent="0.2">
      <c r="A477" s="17"/>
      <c r="B477" s="17"/>
      <c r="C477" s="14"/>
      <c r="D477" s="14"/>
      <c r="E477" s="14"/>
      <c r="F477" s="14"/>
      <c r="G477" s="14"/>
      <c r="H477" s="14"/>
    </row>
    <row r="478" spans="1:8" x14ac:dyDescent="0.2">
      <c r="A478" s="17"/>
      <c r="B478" s="17"/>
      <c r="C478" s="14"/>
      <c r="D478" s="14"/>
      <c r="E478" s="14"/>
      <c r="F478" s="14"/>
      <c r="G478" s="14"/>
      <c r="H478" s="14"/>
    </row>
    <row r="479" spans="1:8" x14ac:dyDescent="0.2">
      <c r="A479" s="17"/>
      <c r="B479" s="17"/>
      <c r="C479" s="14"/>
      <c r="D479" s="14"/>
      <c r="E479" s="14"/>
      <c r="F479" s="14"/>
      <c r="G479" s="14"/>
      <c r="H479" s="14"/>
    </row>
    <row r="480" spans="1:8" x14ac:dyDescent="0.2">
      <c r="A480" s="17"/>
      <c r="B480" s="17"/>
      <c r="C480" s="14"/>
      <c r="D480" s="14"/>
      <c r="E480" s="14"/>
      <c r="F480" s="14"/>
      <c r="G480" s="14"/>
      <c r="H480" s="14"/>
    </row>
  </sheetData>
  <printOptions horizontalCentered="1"/>
  <pageMargins left="0.5" right="0.5" top="0.5" bottom="0.5" header="0.5" footer="0.5"/>
  <pageSetup scale="70" orientation="landscape" r:id="rId1"/>
  <headerFooter>
    <oddFooter>&amp;RSchedule A-13
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1D23-9F74-431F-88E3-155B70983614}">
  <sheetPr transitionEvaluation="1" transitionEntry="1"/>
  <dimension ref="A1:HG76"/>
  <sheetViews>
    <sheetView defaultGridColor="0" view="pageBreakPreview" topLeftCell="A2" colorId="22" zoomScaleNormal="70" zoomScaleSheetLayoutView="100" workbookViewId="0">
      <selection activeCell="H6" sqref="H6"/>
    </sheetView>
  </sheetViews>
  <sheetFormatPr defaultColWidth="9.77734375" defaultRowHeight="15" x14ac:dyDescent="0.2"/>
  <cols>
    <col min="1" max="1" width="27.33203125" style="18" customWidth="1"/>
    <col min="2" max="3" width="11.21875" style="11" customWidth="1"/>
    <col min="4" max="4" width="10.44140625" style="11" customWidth="1"/>
    <col min="5" max="5" width="9.6640625" style="11" customWidth="1"/>
    <col min="6" max="6" width="10.88671875" style="11" customWidth="1"/>
    <col min="7" max="7" width="10" style="11" customWidth="1"/>
    <col min="8" max="8" width="10.88671875" style="11" customWidth="1"/>
    <col min="9" max="9" width="9.5546875" style="11" bestFit="1" customWidth="1"/>
    <col min="10" max="10" width="13.21875" style="11" customWidth="1"/>
    <col min="11" max="11" width="13.109375" style="11" customWidth="1"/>
    <col min="12" max="12" width="16" style="11" customWidth="1"/>
    <col min="13" max="13" width="15.6640625" style="11" customWidth="1"/>
    <col min="14" max="14" width="1.77734375" style="11" hidden="1" customWidth="1"/>
    <col min="15" max="15" width="9.77734375" style="11" customWidth="1"/>
    <col min="16" max="16" width="1.21875" style="11" hidden="1" customWidth="1"/>
    <col min="17" max="17" width="10" style="11" customWidth="1"/>
    <col min="18" max="18" width="2" style="11" hidden="1" customWidth="1"/>
    <col min="19" max="19" width="8.109375" style="11" customWidth="1"/>
    <col min="20" max="20" width="1.21875" style="11" hidden="1" customWidth="1"/>
    <col min="21" max="21" width="10.44140625" style="11" customWidth="1"/>
    <col min="22" max="22" width="3.109375" style="11" customWidth="1"/>
    <col min="23" max="23" width="1.77734375" style="11" customWidth="1"/>
    <col min="24" max="16384" width="9.77734375" style="11"/>
  </cols>
  <sheetData>
    <row r="1" spans="1:215" s="1" customFormat="1" ht="40.5" x14ac:dyDescent="0.35">
      <c r="A1" s="165" t="s">
        <v>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217"/>
      <c r="T1" s="118"/>
      <c r="U1" s="118"/>
      <c r="V1" s="22"/>
      <c r="W1" s="22"/>
      <c r="X1" s="22"/>
      <c r="Y1" s="22"/>
      <c r="Z1" s="22"/>
      <c r="AA1" s="22"/>
    </row>
    <row r="2" spans="1:215" s="1" customFormat="1" ht="20.25" x14ac:dyDescent="0.35">
      <c r="A2" s="200" t="s">
        <v>83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217"/>
      <c r="T2" s="118"/>
      <c r="U2" s="118"/>
      <c r="V2" s="22"/>
      <c r="W2" s="22"/>
      <c r="X2" s="22"/>
      <c r="Y2" s="22"/>
      <c r="Z2" s="22"/>
      <c r="AA2" s="22"/>
    </row>
    <row r="3" spans="1:215" s="1" customFormat="1" ht="20.25" x14ac:dyDescent="0.35">
      <c r="A3" s="218" t="s">
        <v>84</v>
      </c>
      <c r="B3" s="116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2"/>
      <c r="W3" s="22"/>
      <c r="X3" s="22"/>
      <c r="Y3" s="22"/>
      <c r="Z3" s="22"/>
      <c r="AA3" s="22"/>
    </row>
    <row r="4" spans="1:215" s="1" customFormat="1" ht="81" x14ac:dyDescent="0.35">
      <c r="A4" s="218" t="s">
        <v>85</v>
      </c>
      <c r="B4" s="116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2"/>
      <c r="W4" s="22"/>
      <c r="X4" s="22"/>
      <c r="Y4" s="22"/>
      <c r="Z4" s="22"/>
      <c r="AA4" s="22"/>
    </row>
    <row r="5" spans="1:215" s="1" customFormat="1" ht="121.5" x14ac:dyDescent="0.35">
      <c r="A5" s="218" t="s">
        <v>86</v>
      </c>
      <c r="B5" s="116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2"/>
      <c r="W5" s="22"/>
      <c r="X5" s="22"/>
      <c r="Y5" s="22"/>
      <c r="Z5" s="22"/>
      <c r="AA5" s="22"/>
    </row>
    <row r="6" spans="1:215" s="25" customFormat="1" ht="138" x14ac:dyDescent="0.3">
      <c r="A6" s="222" t="s">
        <v>0</v>
      </c>
      <c r="B6" s="168" t="s">
        <v>128</v>
      </c>
      <c r="C6" s="169" t="s">
        <v>129</v>
      </c>
      <c r="D6" s="169" t="s">
        <v>130</v>
      </c>
      <c r="E6" s="169" t="s">
        <v>131</v>
      </c>
      <c r="F6" s="169" t="s">
        <v>132</v>
      </c>
      <c r="G6" s="169" t="s">
        <v>133</v>
      </c>
      <c r="H6" s="169" t="s">
        <v>294</v>
      </c>
      <c r="I6" s="216" t="s">
        <v>293</v>
      </c>
      <c r="J6" s="223" t="s">
        <v>134</v>
      </c>
      <c r="K6" s="202" t="s">
        <v>135</v>
      </c>
      <c r="L6" s="202" t="s">
        <v>136</v>
      </c>
      <c r="M6" s="202" t="s">
        <v>137</v>
      </c>
      <c r="N6" s="224" t="s">
        <v>186</v>
      </c>
      <c r="O6" s="202" t="s">
        <v>138</v>
      </c>
      <c r="P6" s="224" t="s">
        <v>187</v>
      </c>
      <c r="Q6" s="225" t="s">
        <v>139</v>
      </c>
      <c r="R6" s="224" t="s">
        <v>188</v>
      </c>
      <c r="S6" s="225" t="s">
        <v>292</v>
      </c>
      <c r="T6" s="225" t="s">
        <v>189</v>
      </c>
      <c r="U6" s="203" t="s">
        <v>291</v>
      </c>
      <c r="V6" s="23"/>
      <c r="W6" s="23"/>
      <c r="X6" s="23"/>
      <c r="Y6" s="23"/>
      <c r="Z6" s="23"/>
      <c r="AA6" s="23"/>
    </row>
    <row r="7" spans="1:215" s="60" customFormat="1" ht="17.25" x14ac:dyDescent="0.3">
      <c r="A7" s="219"/>
      <c r="B7" s="220">
        <v>80</v>
      </c>
      <c r="C7" s="220"/>
      <c r="D7" s="220">
        <v>58</v>
      </c>
      <c r="E7" s="220"/>
      <c r="F7" s="220">
        <v>620</v>
      </c>
      <c r="G7" s="220"/>
      <c r="H7" s="220">
        <v>758</v>
      </c>
      <c r="I7" s="220"/>
      <c r="J7" s="220">
        <v>2900</v>
      </c>
      <c r="K7" s="220" t="s">
        <v>140</v>
      </c>
      <c r="L7" s="220">
        <v>1350</v>
      </c>
      <c r="M7" s="220"/>
      <c r="N7" s="221"/>
      <c r="O7" s="220">
        <v>522</v>
      </c>
      <c r="P7" s="221"/>
      <c r="Q7" s="220"/>
      <c r="R7" s="221"/>
      <c r="S7" s="220">
        <v>4772</v>
      </c>
      <c r="T7" s="221"/>
      <c r="U7" s="220"/>
    </row>
    <row r="8" spans="1:215" ht="17.649999999999999" customHeight="1" x14ac:dyDescent="0.35">
      <c r="A8" s="122" t="s">
        <v>4</v>
      </c>
      <c r="B8" s="124">
        <v>34</v>
      </c>
      <c r="C8" s="174"/>
      <c r="D8" s="127">
        <v>0</v>
      </c>
      <c r="E8" s="174"/>
      <c r="F8" s="124">
        <v>334</v>
      </c>
      <c r="G8" s="174"/>
      <c r="H8" s="174">
        <v>368</v>
      </c>
      <c r="I8" s="174"/>
      <c r="J8" s="125">
        <v>0</v>
      </c>
      <c r="K8" s="186"/>
      <c r="L8" s="124">
        <v>498.28571428571428</v>
      </c>
      <c r="M8" s="174"/>
      <c r="N8" s="186"/>
      <c r="O8" s="124">
        <v>23.117142857142859</v>
      </c>
      <c r="P8" s="174"/>
      <c r="Q8" s="174"/>
      <c r="R8" s="186"/>
      <c r="S8" s="124">
        <v>521.4028571428571</v>
      </c>
      <c r="T8" s="174"/>
      <c r="U8" s="174"/>
      <c r="V8" s="22"/>
      <c r="W8" s="33"/>
      <c r="X8" s="33"/>
      <c r="Y8" s="33"/>
      <c r="Z8" s="33"/>
      <c r="AA8" s="33"/>
      <c r="AB8" s="10"/>
      <c r="AC8" s="10"/>
      <c r="AD8" s="10"/>
      <c r="AE8" s="1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</row>
    <row r="9" spans="1:215" ht="17.649999999999999" customHeight="1" x14ac:dyDescent="0.35">
      <c r="A9" s="122" t="s">
        <v>5</v>
      </c>
      <c r="B9" s="124">
        <v>17</v>
      </c>
      <c r="C9" s="174"/>
      <c r="D9" s="127">
        <v>0</v>
      </c>
      <c r="E9" s="174"/>
      <c r="F9" s="124">
        <v>318</v>
      </c>
      <c r="G9" s="174"/>
      <c r="H9" s="174">
        <v>335</v>
      </c>
      <c r="I9" s="174"/>
      <c r="J9" s="125">
        <v>0</v>
      </c>
      <c r="K9" s="186"/>
      <c r="L9" s="124">
        <v>326.42857142857144</v>
      </c>
      <c r="M9" s="174"/>
      <c r="N9" s="186"/>
      <c r="O9" s="124">
        <v>32.0657142857143</v>
      </c>
      <c r="P9" s="174"/>
      <c r="Q9" s="174"/>
      <c r="R9" s="186"/>
      <c r="S9" s="124">
        <v>358.49428571428575</v>
      </c>
      <c r="T9" s="174"/>
      <c r="U9" s="174"/>
      <c r="V9" s="22"/>
      <c r="W9" s="33"/>
      <c r="X9" s="33"/>
      <c r="Y9" s="33"/>
      <c r="Z9" s="33"/>
      <c r="AA9" s="33"/>
      <c r="AB9" s="10"/>
      <c r="AC9" s="10"/>
      <c r="AD9" s="10"/>
      <c r="AE9" s="1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</row>
    <row r="10" spans="1:215" ht="17.649999999999999" customHeight="1" x14ac:dyDescent="0.35">
      <c r="A10" s="122" t="s">
        <v>6</v>
      </c>
      <c r="B10" s="124">
        <v>22</v>
      </c>
      <c r="C10" s="174"/>
      <c r="D10" s="127">
        <v>0</v>
      </c>
      <c r="E10" s="174"/>
      <c r="F10" s="124">
        <v>293</v>
      </c>
      <c r="G10" s="174"/>
      <c r="H10" s="174">
        <v>315</v>
      </c>
      <c r="I10" s="174"/>
      <c r="J10" s="125">
        <v>0</v>
      </c>
      <c r="K10" s="186"/>
      <c r="L10" s="124">
        <v>385.42857142857144</v>
      </c>
      <c r="M10" s="174"/>
      <c r="N10" s="186"/>
      <c r="O10" s="124">
        <v>73.825714285714298</v>
      </c>
      <c r="P10" s="174"/>
      <c r="Q10" s="174"/>
      <c r="R10" s="186"/>
      <c r="S10" s="124">
        <v>459.25428571428574</v>
      </c>
      <c r="T10" s="174"/>
      <c r="U10" s="174"/>
      <c r="V10" s="22"/>
      <c r="W10" s="33"/>
      <c r="X10" s="33"/>
      <c r="Y10" s="33"/>
      <c r="Z10" s="33"/>
      <c r="AA10" s="33"/>
      <c r="AB10" s="10"/>
      <c r="AC10" s="10"/>
      <c r="AD10" s="10"/>
      <c r="AE10" s="1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</row>
    <row r="11" spans="1:215" ht="17.649999999999999" customHeight="1" x14ac:dyDescent="0.35">
      <c r="A11" s="122" t="s">
        <v>7</v>
      </c>
      <c r="B11" s="124">
        <v>19</v>
      </c>
      <c r="C11" s="174"/>
      <c r="D11" s="127">
        <v>0</v>
      </c>
      <c r="E11" s="174"/>
      <c r="F11" s="124">
        <v>354</v>
      </c>
      <c r="G11" s="174"/>
      <c r="H11" s="174">
        <v>373</v>
      </c>
      <c r="I11" s="174"/>
      <c r="J11" s="125">
        <v>0</v>
      </c>
      <c r="K11" s="186"/>
      <c r="L11" s="124">
        <v>510.47619047619048</v>
      </c>
      <c r="M11" s="174"/>
      <c r="N11" s="186"/>
      <c r="O11" s="124">
        <v>42.008571428571436</v>
      </c>
      <c r="P11" s="174"/>
      <c r="Q11" s="174"/>
      <c r="R11" s="186"/>
      <c r="S11" s="124">
        <v>552.48476190476197</v>
      </c>
      <c r="T11" s="174"/>
      <c r="U11" s="174"/>
      <c r="V11" s="22"/>
      <c r="W11" s="33"/>
      <c r="X11" s="33"/>
      <c r="Y11" s="33"/>
      <c r="Z11" s="33"/>
      <c r="AA11" s="33"/>
      <c r="AB11" s="10"/>
      <c r="AC11" s="10"/>
      <c r="AD11" s="10"/>
      <c r="AE11" s="10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</row>
    <row r="12" spans="1:215" ht="17.649999999999999" customHeight="1" x14ac:dyDescent="0.35">
      <c r="A12" s="122" t="s">
        <v>8</v>
      </c>
      <c r="B12" s="124">
        <v>35</v>
      </c>
      <c r="C12" s="174"/>
      <c r="D12" s="124">
        <v>25</v>
      </c>
      <c r="E12" s="174"/>
      <c r="F12" s="124">
        <v>377</v>
      </c>
      <c r="G12" s="174"/>
      <c r="H12" s="174">
        <v>437</v>
      </c>
      <c r="I12" s="174"/>
      <c r="J12" s="125">
        <v>0</v>
      </c>
      <c r="K12" s="186"/>
      <c r="L12" s="124">
        <v>435.1904761904762</v>
      </c>
      <c r="M12" s="174"/>
      <c r="N12" s="186"/>
      <c r="O12" s="124">
        <v>55.431428571428576</v>
      </c>
      <c r="P12" s="174"/>
      <c r="Q12" s="174"/>
      <c r="R12" s="186"/>
      <c r="S12" s="124">
        <v>490.62190476190477</v>
      </c>
      <c r="T12" s="174"/>
      <c r="U12" s="174"/>
      <c r="V12" s="22"/>
      <c r="W12" s="33"/>
      <c r="X12" s="33"/>
      <c r="Y12" s="33"/>
      <c r="Z12" s="33"/>
      <c r="AA12" s="33"/>
      <c r="AB12" s="10"/>
      <c r="AC12" s="10"/>
      <c r="AD12" s="10"/>
      <c r="AE12" s="10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</row>
    <row r="13" spans="1:215" ht="17.649999999999999" customHeight="1" x14ac:dyDescent="0.35">
      <c r="A13" s="122" t="s">
        <v>9</v>
      </c>
      <c r="B13" s="124">
        <v>0</v>
      </c>
      <c r="C13" s="174"/>
      <c r="D13" s="124">
        <v>37</v>
      </c>
      <c r="E13" s="174"/>
      <c r="F13" s="124">
        <v>368</v>
      </c>
      <c r="G13" s="174"/>
      <c r="H13" s="174">
        <v>405</v>
      </c>
      <c r="I13" s="174"/>
      <c r="J13" s="125">
        <v>28.560000000000002</v>
      </c>
      <c r="K13" s="186"/>
      <c r="L13" s="124">
        <v>479.04761904761904</v>
      </c>
      <c r="M13" s="174"/>
      <c r="N13" s="186"/>
      <c r="O13" s="124">
        <v>67.80285714285715</v>
      </c>
      <c r="P13" s="174"/>
      <c r="Q13" s="174"/>
      <c r="R13" s="186"/>
      <c r="S13" s="124">
        <v>575.41047619047617</v>
      </c>
      <c r="T13" s="174"/>
      <c r="U13" s="174"/>
      <c r="V13" s="22"/>
      <c r="W13" s="33"/>
      <c r="X13" s="33"/>
      <c r="Y13" s="33"/>
      <c r="Z13" s="33"/>
      <c r="AA13" s="33"/>
      <c r="AB13" s="10"/>
      <c r="AC13" s="10"/>
      <c r="AD13" s="10"/>
      <c r="AE13" s="10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</row>
    <row r="14" spans="1:215" ht="17.649999999999999" customHeight="1" x14ac:dyDescent="0.35">
      <c r="A14" s="122" t="s">
        <v>10</v>
      </c>
      <c r="B14" s="124">
        <v>9</v>
      </c>
      <c r="C14" s="174"/>
      <c r="D14" s="124">
        <v>24</v>
      </c>
      <c r="E14" s="174"/>
      <c r="F14" s="124">
        <v>400</v>
      </c>
      <c r="G14" s="174"/>
      <c r="H14" s="174">
        <v>433</v>
      </c>
      <c r="I14" s="174"/>
      <c r="J14" s="125">
        <v>149.69800000000001</v>
      </c>
      <c r="K14" s="186"/>
      <c r="L14" s="124">
        <v>554.76190476190482</v>
      </c>
      <c r="M14" s="174"/>
      <c r="N14" s="186"/>
      <c r="O14" s="124">
        <v>107.18771428571432</v>
      </c>
      <c r="P14" s="174"/>
      <c r="Q14" s="174"/>
      <c r="R14" s="186"/>
      <c r="S14" s="124">
        <v>811.64761904761917</v>
      </c>
      <c r="T14" s="174"/>
      <c r="U14" s="174"/>
      <c r="V14" s="22"/>
      <c r="W14" s="33"/>
      <c r="X14" s="33"/>
      <c r="Y14" s="33"/>
      <c r="Z14" s="33"/>
      <c r="AA14" s="33"/>
      <c r="AB14" s="10"/>
      <c r="AC14" s="10"/>
      <c r="AD14" s="10"/>
      <c r="AE14" s="1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</row>
    <row r="15" spans="1:215" ht="16.5" customHeight="1" x14ac:dyDescent="0.35">
      <c r="A15" s="122" t="s">
        <v>11</v>
      </c>
      <c r="B15" s="124">
        <v>13</v>
      </c>
      <c r="C15" s="174"/>
      <c r="D15" s="124">
        <v>24</v>
      </c>
      <c r="E15" s="174"/>
      <c r="F15" s="124">
        <v>404</v>
      </c>
      <c r="G15" s="174"/>
      <c r="H15" s="174">
        <v>441</v>
      </c>
      <c r="I15" s="174"/>
      <c r="J15" s="125">
        <v>184.05280000000002</v>
      </c>
      <c r="K15" s="186"/>
      <c r="L15" s="124">
        <v>544.28571428571422</v>
      </c>
      <c r="M15" s="174"/>
      <c r="N15" s="186"/>
      <c r="O15" s="124">
        <v>101.36434285714287</v>
      </c>
      <c r="P15" s="174"/>
      <c r="Q15" s="174"/>
      <c r="R15" s="186"/>
      <c r="S15" s="124">
        <v>829.70285714285717</v>
      </c>
      <c r="T15" s="174"/>
      <c r="U15" s="174"/>
      <c r="V15" s="22"/>
      <c r="W15" s="33"/>
      <c r="X15" s="33"/>
      <c r="Y15" s="33"/>
      <c r="Z15" s="33"/>
      <c r="AA15" s="33"/>
      <c r="AB15" s="10"/>
      <c r="AC15" s="10"/>
      <c r="AD15" s="10"/>
      <c r="AE15" s="1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</row>
    <row r="16" spans="1:215" ht="17.649999999999999" customHeight="1" x14ac:dyDescent="0.35">
      <c r="A16" s="122" t="s">
        <v>12</v>
      </c>
      <c r="B16" s="124">
        <v>16</v>
      </c>
      <c r="C16" s="174"/>
      <c r="D16" s="124">
        <v>24</v>
      </c>
      <c r="E16" s="174"/>
      <c r="F16" s="124">
        <v>449</v>
      </c>
      <c r="G16" s="174"/>
      <c r="H16" s="174">
        <v>489</v>
      </c>
      <c r="I16" s="174"/>
      <c r="J16" s="125">
        <v>173.23999999999998</v>
      </c>
      <c r="K16" s="186"/>
      <c r="L16" s="124">
        <v>557</v>
      </c>
      <c r="M16" s="174"/>
      <c r="N16" s="186"/>
      <c r="O16" s="124">
        <v>78.059999999999988</v>
      </c>
      <c r="P16" s="174"/>
      <c r="Q16" s="174"/>
      <c r="R16" s="186"/>
      <c r="S16" s="124">
        <v>808.3</v>
      </c>
      <c r="T16" s="174"/>
      <c r="U16" s="174"/>
      <c r="V16" s="22"/>
      <c r="W16" s="33"/>
      <c r="X16" s="33"/>
      <c r="Y16" s="33"/>
      <c r="Z16" s="33"/>
      <c r="AA16" s="33"/>
      <c r="AB16" s="10"/>
      <c r="AC16" s="10"/>
      <c r="AD16" s="10"/>
      <c r="AE16" s="10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</row>
    <row r="17" spans="1:215" ht="16.5" customHeight="1" x14ac:dyDescent="0.35">
      <c r="A17" s="122" t="s">
        <v>13</v>
      </c>
      <c r="B17" s="124">
        <v>12</v>
      </c>
      <c r="C17" s="174"/>
      <c r="D17" s="124">
        <v>24</v>
      </c>
      <c r="E17" s="174"/>
      <c r="F17" s="124">
        <v>492</v>
      </c>
      <c r="G17" s="174"/>
      <c r="H17" s="174">
        <v>528</v>
      </c>
      <c r="I17" s="174"/>
      <c r="J17" s="125">
        <v>821.91599999999994</v>
      </c>
      <c r="K17" s="186"/>
      <c r="L17" s="124">
        <v>552.28571428571422</v>
      </c>
      <c r="M17" s="174"/>
      <c r="N17" s="186"/>
      <c r="O17" s="124">
        <v>226.78114285714292</v>
      </c>
      <c r="P17" s="174"/>
      <c r="Q17" s="174"/>
      <c r="R17" s="186"/>
      <c r="S17" s="124">
        <v>1600.982857142857</v>
      </c>
      <c r="T17" s="174"/>
      <c r="U17" s="174"/>
      <c r="V17" s="22"/>
      <c r="W17" s="33"/>
      <c r="X17" s="33"/>
      <c r="Y17" s="33"/>
      <c r="Z17" s="33"/>
      <c r="AA17" s="33"/>
      <c r="AB17" s="10"/>
      <c r="AC17" s="10"/>
      <c r="AD17" s="10"/>
      <c r="AE17" s="10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</row>
    <row r="18" spans="1:215" ht="17.649999999999999" customHeight="1" x14ac:dyDescent="0.35">
      <c r="A18" s="122" t="s">
        <v>14</v>
      </c>
      <c r="B18" s="124">
        <v>12</v>
      </c>
      <c r="C18" s="174"/>
      <c r="D18" s="124">
        <v>13</v>
      </c>
      <c r="E18" s="174"/>
      <c r="F18" s="124">
        <v>436</v>
      </c>
      <c r="G18" s="174"/>
      <c r="H18" s="174">
        <v>461</v>
      </c>
      <c r="I18" s="174"/>
      <c r="J18" s="125">
        <v>546.90869999999995</v>
      </c>
      <c r="K18" s="186"/>
      <c r="L18" s="124">
        <v>506.47619047619048</v>
      </c>
      <c r="M18" s="174"/>
      <c r="N18" s="186"/>
      <c r="O18" s="124">
        <v>172.59987142857148</v>
      </c>
      <c r="P18" s="174"/>
      <c r="Q18" s="174"/>
      <c r="R18" s="186"/>
      <c r="S18" s="124">
        <v>1225.9847619047619</v>
      </c>
      <c r="T18" s="174"/>
      <c r="U18" s="174"/>
      <c r="V18" s="22"/>
      <c r="W18" s="33"/>
      <c r="X18" s="33"/>
      <c r="Y18" s="33"/>
      <c r="Z18" s="33"/>
      <c r="AA18" s="33"/>
      <c r="AB18" s="10"/>
      <c r="AC18" s="10"/>
      <c r="AD18" s="10"/>
      <c r="AE18" s="10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</row>
    <row r="19" spans="1:215" ht="16.5" customHeight="1" x14ac:dyDescent="0.35">
      <c r="A19" s="122" t="s">
        <v>15</v>
      </c>
      <c r="B19" s="124">
        <v>12</v>
      </c>
      <c r="C19" s="174"/>
      <c r="D19" s="124">
        <v>17</v>
      </c>
      <c r="E19" s="174"/>
      <c r="F19" s="124">
        <v>445</v>
      </c>
      <c r="G19" s="174"/>
      <c r="H19" s="174">
        <v>474</v>
      </c>
      <c r="I19" s="174"/>
      <c r="J19" s="125">
        <v>282.51519999999999</v>
      </c>
      <c r="K19" s="186"/>
      <c r="L19" s="124">
        <v>513.47619047619048</v>
      </c>
      <c r="M19" s="174"/>
      <c r="N19" s="186"/>
      <c r="O19" s="124">
        <v>105.13337142857146</v>
      </c>
      <c r="P19" s="174"/>
      <c r="Q19" s="174"/>
      <c r="R19" s="186"/>
      <c r="S19" s="124">
        <v>901.12476190476184</v>
      </c>
      <c r="T19" s="174"/>
      <c r="U19" s="174"/>
      <c r="V19" s="22"/>
      <c r="W19" s="33"/>
      <c r="X19" s="33"/>
      <c r="Y19" s="33"/>
      <c r="Z19" s="33"/>
      <c r="AA19" s="33"/>
      <c r="AB19" s="10"/>
      <c r="AC19" s="10"/>
      <c r="AD19" s="10"/>
      <c r="AE19" s="10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</row>
    <row r="20" spans="1:215" ht="17.649999999999999" customHeight="1" x14ac:dyDescent="0.35">
      <c r="A20" s="122" t="s">
        <v>16</v>
      </c>
      <c r="B20" s="124">
        <v>12</v>
      </c>
      <c r="C20" s="174"/>
      <c r="D20" s="124">
        <v>24</v>
      </c>
      <c r="E20" s="174"/>
      <c r="F20" s="124">
        <v>456</v>
      </c>
      <c r="G20" s="174"/>
      <c r="H20" s="174">
        <v>492</v>
      </c>
      <c r="I20" s="174"/>
      <c r="J20" s="125">
        <v>1653.7725</v>
      </c>
      <c r="K20" s="186"/>
      <c r="L20" s="124">
        <v>664.42857142857133</v>
      </c>
      <c r="M20" s="174"/>
      <c r="N20" s="186"/>
      <c r="O20" s="124">
        <v>178.4532142857143</v>
      </c>
      <c r="P20" s="174"/>
      <c r="Q20" s="174"/>
      <c r="R20" s="186"/>
      <c r="S20" s="124">
        <v>2496.6542857142858</v>
      </c>
      <c r="T20" s="174"/>
      <c r="U20" s="174"/>
      <c r="V20" s="22"/>
      <c r="W20" s="33"/>
      <c r="X20" s="33"/>
      <c r="Y20" s="33"/>
      <c r="Z20" s="33"/>
      <c r="AA20" s="33"/>
      <c r="AB20" s="10"/>
      <c r="AC20" s="10"/>
      <c r="AD20" s="10"/>
      <c r="AE20" s="10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</row>
    <row r="21" spans="1:215" ht="16.5" customHeight="1" x14ac:dyDescent="0.35">
      <c r="A21" s="122" t="s">
        <v>17</v>
      </c>
      <c r="B21" s="124">
        <v>12</v>
      </c>
      <c r="C21" s="174"/>
      <c r="D21" s="124">
        <v>24</v>
      </c>
      <c r="E21" s="174"/>
      <c r="F21" s="124">
        <v>448</v>
      </c>
      <c r="G21" s="174"/>
      <c r="H21" s="174">
        <v>484</v>
      </c>
      <c r="I21" s="174"/>
      <c r="J21" s="125">
        <v>584.67919999999992</v>
      </c>
      <c r="K21" s="186"/>
      <c r="L21" s="124">
        <v>510.47619047619048</v>
      </c>
      <c r="M21" s="174"/>
      <c r="N21" s="186"/>
      <c r="O21" s="124">
        <v>115.40937142857148</v>
      </c>
      <c r="P21" s="174"/>
      <c r="Q21" s="174"/>
      <c r="R21" s="186"/>
      <c r="S21" s="124">
        <v>1210.5647619047618</v>
      </c>
      <c r="T21" s="174"/>
      <c r="U21" s="174"/>
      <c r="V21" s="22"/>
      <c r="W21" s="33"/>
      <c r="X21" s="33"/>
      <c r="Y21" s="33"/>
      <c r="Z21" s="33"/>
      <c r="AA21" s="33"/>
      <c r="AB21" s="10"/>
      <c r="AC21" s="10"/>
      <c r="AD21" s="10"/>
      <c r="AE21" s="10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</row>
    <row r="22" spans="1:215" ht="17.649999999999999" customHeight="1" x14ac:dyDescent="0.35">
      <c r="A22" s="122" t="s">
        <v>18</v>
      </c>
      <c r="B22" s="124">
        <v>12</v>
      </c>
      <c r="C22" s="174"/>
      <c r="D22" s="124">
        <v>25</v>
      </c>
      <c r="E22" s="174"/>
      <c r="F22" s="124">
        <v>432</v>
      </c>
      <c r="G22" s="174"/>
      <c r="H22" s="174">
        <v>469</v>
      </c>
      <c r="I22" s="174"/>
      <c r="J22" s="125">
        <v>1424.9848</v>
      </c>
      <c r="K22" s="186"/>
      <c r="L22" s="124">
        <v>589.52380952380952</v>
      </c>
      <c r="M22" s="174"/>
      <c r="N22" s="186"/>
      <c r="O22" s="124">
        <v>125.04662857142864</v>
      </c>
      <c r="P22" s="174"/>
      <c r="Q22" s="174"/>
      <c r="R22" s="186"/>
      <c r="S22" s="124">
        <v>2139.5552380952381</v>
      </c>
      <c r="T22" s="174"/>
      <c r="U22" s="174"/>
      <c r="V22" s="22"/>
      <c r="W22" s="33"/>
      <c r="X22" s="33"/>
      <c r="Y22" s="33"/>
      <c r="Z22" s="33"/>
      <c r="AA22" s="33"/>
      <c r="AB22" s="10"/>
      <c r="AC22" s="10"/>
      <c r="AD22" s="10"/>
      <c r="AE22" s="10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</row>
    <row r="23" spans="1:215" ht="16.5" customHeight="1" x14ac:dyDescent="0.35">
      <c r="A23" s="122" t="s">
        <v>19</v>
      </c>
      <c r="B23" s="124">
        <v>11</v>
      </c>
      <c r="C23" s="174"/>
      <c r="D23" s="124">
        <v>23</v>
      </c>
      <c r="E23" s="174"/>
      <c r="F23" s="124">
        <v>438</v>
      </c>
      <c r="G23" s="174"/>
      <c r="H23" s="174">
        <v>472</v>
      </c>
      <c r="I23" s="174"/>
      <c r="J23" s="125">
        <v>1328.3771999999999</v>
      </c>
      <c r="K23" s="186"/>
      <c r="L23" s="124">
        <v>580.47619047619048</v>
      </c>
      <c r="M23" s="174"/>
      <c r="N23" s="186"/>
      <c r="O23" s="124">
        <v>119.93137142857151</v>
      </c>
      <c r="P23" s="174"/>
      <c r="Q23" s="174"/>
      <c r="R23" s="186"/>
      <c r="S23" s="124">
        <v>2028.7847619047618</v>
      </c>
      <c r="T23" s="174"/>
      <c r="U23" s="174"/>
      <c r="V23" s="22"/>
      <c r="W23" s="33"/>
      <c r="X23" s="33"/>
      <c r="Y23" s="33"/>
      <c r="Z23" s="33"/>
      <c r="AA23" s="33"/>
      <c r="AB23" s="10"/>
      <c r="AC23" s="10"/>
      <c r="AD23" s="10"/>
      <c r="AE23" s="10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</row>
    <row r="24" spans="1:215" ht="17.649999999999999" customHeight="1" x14ac:dyDescent="0.35">
      <c r="A24" s="122" t="s">
        <v>20</v>
      </c>
      <c r="B24" s="124">
        <v>13</v>
      </c>
      <c r="C24" s="174"/>
      <c r="D24" s="124">
        <v>25</v>
      </c>
      <c r="E24" s="174"/>
      <c r="F24" s="124">
        <v>453</v>
      </c>
      <c r="G24" s="174"/>
      <c r="H24" s="174">
        <v>491</v>
      </c>
      <c r="I24" s="174"/>
      <c r="J24" s="125">
        <v>1320.1380000000001</v>
      </c>
      <c r="K24" s="186"/>
      <c r="L24" s="124">
        <v>890.71428571428567</v>
      </c>
      <c r="M24" s="174"/>
      <c r="N24" s="186"/>
      <c r="O24" s="124">
        <v>300.38485714285707</v>
      </c>
      <c r="P24" s="174"/>
      <c r="Q24" s="174"/>
      <c r="R24" s="186"/>
      <c r="S24" s="124">
        <v>2511.2371428571428</v>
      </c>
      <c r="T24" s="174"/>
      <c r="U24" s="174"/>
      <c r="V24" s="22"/>
      <c r="W24" s="33"/>
      <c r="X24" s="33"/>
      <c r="Y24" s="33"/>
      <c r="Z24" s="33"/>
      <c r="AA24" s="33"/>
      <c r="AB24" s="10"/>
      <c r="AC24" s="10"/>
      <c r="AD24" s="10"/>
      <c r="AE24" s="1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</row>
    <row r="25" spans="1:215" ht="17.649999999999999" customHeight="1" x14ac:dyDescent="0.35">
      <c r="A25" s="122" t="s">
        <v>21</v>
      </c>
      <c r="B25" s="124">
        <v>12</v>
      </c>
      <c r="C25" s="174"/>
      <c r="D25" s="124">
        <v>24</v>
      </c>
      <c r="E25" s="174"/>
      <c r="F25" s="124">
        <v>501</v>
      </c>
      <c r="G25" s="174"/>
      <c r="H25" s="174">
        <v>537</v>
      </c>
      <c r="I25" s="174"/>
      <c r="J25" s="125">
        <v>1152.6034</v>
      </c>
      <c r="K25" s="186"/>
      <c r="L25" s="124">
        <v>902.85714285714278</v>
      </c>
      <c r="M25" s="174"/>
      <c r="N25" s="186"/>
      <c r="O25" s="124">
        <v>288.98802857142869</v>
      </c>
      <c r="P25" s="174"/>
      <c r="Q25" s="174"/>
      <c r="R25" s="186"/>
      <c r="S25" s="124">
        <v>2344.4485714285711</v>
      </c>
      <c r="T25" s="174"/>
      <c r="U25" s="174"/>
      <c r="V25" s="22"/>
      <c r="W25" s="33"/>
      <c r="X25" s="33"/>
      <c r="Y25" s="33"/>
      <c r="Z25" s="33"/>
      <c r="AA25" s="33"/>
      <c r="AB25" s="10"/>
      <c r="AC25" s="10"/>
      <c r="AD25" s="10"/>
      <c r="AE25" s="10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</row>
    <row r="26" spans="1:215" ht="17.649999999999999" customHeight="1" x14ac:dyDescent="0.35">
      <c r="A26" s="122" t="s">
        <v>22</v>
      </c>
      <c r="B26" s="124">
        <v>12</v>
      </c>
      <c r="C26" s="174"/>
      <c r="D26" s="124">
        <v>23</v>
      </c>
      <c r="E26" s="174"/>
      <c r="F26" s="124">
        <v>537</v>
      </c>
      <c r="G26" s="174"/>
      <c r="H26" s="174">
        <v>572</v>
      </c>
      <c r="I26" s="174" t="s">
        <v>23</v>
      </c>
      <c r="J26" s="125">
        <v>1086.4631999999999</v>
      </c>
      <c r="K26" s="186"/>
      <c r="L26" s="124">
        <v>836.66666666666663</v>
      </c>
      <c r="M26" s="174"/>
      <c r="N26" s="186"/>
      <c r="O26" s="124">
        <v>253.57680000000005</v>
      </c>
      <c r="P26" s="174"/>
      <c r="Q26" s="174"/>
      <c r="R26" s="186"/>
      <c r="S26" s="124">
        <v>2176.7066666666669</v>
      </c>
      <c r="T26" s="174"/>
      <c r="U26" s="174"/>
      <c r="V26" s="22"/>
      <c r="W26" s="33"/>
      <c r="X26" s="33"/>
      <c r="Y26" s="33"/>
      <c r="Z26" s="33"/>
      <c r="AA26" s="33"/>
      <c r="AB26" s="10"/>
      <c r="AC26" s="10"/>
      <c r="AD26" s="10"/>
      <c r="AE26" s="10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</row>
    <row r="27" spans="1:215" ht="17.649999999999999" customHeight="1" x14ac:dyDescent="0.35">
      <c r="A27" s="122" t="s">
        <v>24</v>
      </c>
      <c r="B27" s="124">
        <v>12</v>
      </c>
      <c r="C27" s="186"/>
      <c r="D27" s="124">
        <v>21</v>
      </c>
      <c r="E27" s="186"/>
      <c r="F27" s="124">
        <v>496</v>
      </c>
      <c r="G27" s="174"/>
      <c r="H27" s="174">
        <v>529</v>
      </c>
      <c r="I27" s="174"/>
      <c r="J27" s="125">
        <v>1764.2678507992896</v>
      </c>
      <c r="K27" s="186"/>
      <c r="L27" s="124">
        <v>1127.6190476190477</v>
      </c>
      <c r="M27" s="174"/>
      <c r="N27" s="174"/>
      <c r="O27" s="124">
        <v>405.6492920578533</v>
      </c>
      <c r="P27" s="174"/>
      <c r="Q27" s="174"/>
      <c r="R27" s="186"/>
      <c r="S27" s="124">
        <v>3297.5361904761908</v>
      </c>
      <c r="T27" s="174"/>
      <c r="U27" s="174"/>
      <c r="V27" s="22"/>
      <c r="W27" s="33"/>
      <c r="X27" s="33"/>
      <c r="Y27" s="33"/>
      <c r="Z27" s="33"/>
      <c r="AA27" s="33"/>
      <c r="AB27" s="10"/>
      <c r="AC27" s="10"/>
      <c r="AD27" s="10"/>
      <c r="AE27" s="10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</row>
    <row r="28" spans="1:215" ht="17.649999999999999" customHeight="1" x14ac:dyDescent="0.35">
      <c r="A28" s="122" t="s">
        <v>25</v>
      </c>
      <c r="B28" s="124">
        <v>12</v>
      </c>
      <c r="C28" s="186"/>
      <c r="D28" s="124">
        <v>26</v>
      </c>
      <c r="E28" s="186"/>
      <c r="F28" s="124">
        <v>518</v>
      </c>
      <c r="G28" s="174"/>
      <c r="H28" s="174">
        <v>556</v>
      </c>
      <c r="I28" s="174"/>
      <c r="J28" s="124">
        <v>1002</v>
      </c>
      <c r="K28" s="186"/>
      <c r="L28" s="124">
        <v>604.19047619047615</v>
      </c>
      <c r="M28" s="174"/>
      <c r="N28" s="174"/>
      <c r="O28" s="124">
        <v>159.83142857142863</v>
      </c>
      <c r="P28" s="174"/>
      <c r="Q28" s="174"/>
      <c r="R28" s="186"/>
      <c r="S28" s="124">
        <v>1766.0219047619048</v>
      </c>
      <c r="T28" s="174"/>
      <c r="U28" s="174"/>
      <c r="V28" s="22"/>
      <c r="W28" s="33"/>
      <c r="X28" s="33"/>
      <c r="Y28" s="33"/>
      <c r="Z28" s="33"/>
      <c r="AA28" s="33"/>
      <c r="AB28" s="10"/>
      <c r="AC28" s="10"/>
      <c r="AD28" s="10"/>
      <c r="AE28" s="10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</row>
    <row r="29" spans="1:215" ht="17.649999999999999" customHeight="1" x14ac:dyDescent="0.35">
      <c r="A29" s="122" t="s">
        <v>101</v>
      </c>
      <c r="B29" s="124">
        <v>19</v>
      </c>
      <c r="C29" s="186"/>
      <c r="D29" s="124">
        <v>78</v>
      </c>
      <c r="E29" s="186"/>
      <c r="F29" s="124">
        <v>596</v>
      </c>
      <c r="G29" s="174"/>
      <c r="H29" s="174">
        <v>693</v>
      </c>
      <c r="I29" s="174"/>
      <c r="J29" s="124">
        <v>1083</v>
      </c>
      <c r="K29" s="186"/>
      <c r="L29" s="124">
        <v>915.23809523809518</v>
      </c>
      <c r="M29" s="174"/>
      <c r="N29" s="174"/>
      <c r="O29" s="124">
        <v>295.05428571428575</v>
      </c>
      <c r="P29" s="174"/>
      <c r="Q29" s="174"/>
      <c r="R29" s="186"/>
      <c r="S29" s="124">
        <v>2293.2923809523809</v>
      </c>
      <c r="T29" s="174"/>
      <c r="U29" s="174"/>
      <c r="V29" s="22"/>
      <c r="W29" s="33"/>
      <c r="X29" s="33"/>
      <c r="Y29" s="33"/>
      <c r="Z29" s="33"/>
      <c r="AA29" s="33"/>
      <c r="AB29" s="10"/>
      <c r="AC29" s="10"/>
      <c r="AD29" s="10"/>
      <c r="AE29" s="10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</row>
    <row r="30" spans="1:215" ht="17.649999999999999" customHeight="1" x14ac:dyDescent="0.35">
      <c r="A30" s="122" t="s">
        <v>26</v>
      </c>
      <c r="B30" s="124">
        <v>12</v>
      </c>
      <c r="C30" s="186"/>
      <c r="D30" s="124">
        <v>66</v>
      </c>
      <c r="E30" s="186"/>
      <c r="F30" s="124">
        <v>699</v>
      </c>
      <c r="G30" s="174"/>
      <c r="H30" s="174">
        <v>777</v>
      </c>
      <c r="I30" s="174"/>
      <c r="J30" s="124">
        <v>995</v>
      </c>
      <c r="K30" s="186"/>
      <c r="L30" s="124">
        <v>918.09523809523807</v>
      </c>
      <c r="M30" s="174"/>
      <c r="N30" s="174"/>
      <c r="O30" s="124">
        <v>296.54571428571433</v>
      </c>
      <c r="P30" s="174"/>
      <c r="Q30" s="174"/>
      <c r="R30" s="186"/>
      <c r="S30" s="124">
        <v>2209.6409523809525</v>
      </c>
      <c r="T30" s="174"/>
      <c r="U30" s="174"/>
      <c r="V30" s="22"/>
      <c r="W30" s="33"/>
      <c r="X30" s="33"/>
      <c r="Y30" s="33"/>
      <c r="Z30" s="33"/>
      <c r="AA30" s="33"/>
      <c r="AB30" s="10"/>
      <c r="AC30" s="10"/>
      <c r="AD30" s="10"/>
      <c r="AE30" s="10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</row>
    <row r="31" spans="1:215" ht="17.649999999999999" customHeight="1" x14ac:dyDescent="0.35">
      <c r="A31" s="122" t="s">
        <v>27</v>
      </c>
      <c r="B31" s="124">
        <v>12</v>
      </c>
      <c r="C31" s="186"/>
      <c r="D31" s="124">
        <v>66</v>
      </c>
      <c r="E31" s="186"/>
      <c r="F31" s="124">
        <v>782</v>
      </c>
      <c r="G31" s="174"/>
      <c r="H31" s="174">
        <v>860</v>
      </c>
      <c r="I31" s="174"/>
      <c r="J31" s="124">
        <v>1171</v>
      </c>
      <c r="K31" s="186"/>
      <c r="L31" s="124">
        <v>925.71428571428567</v>
      </c>
      <c r="M31" s="174"/>
      <c r="N31" s="174"/>
      <c r="O31" s="124">
        <v>300.52285714285722</v>
      </c>
      <c r="P31" s="174"/>
      <c r="Q31" s="174"/>
      <c r="R31" s="186"/>
      <c r="S31" s="124">
        <v>2397.2371428571432</v>
      </c>
      <c r="T31" s="174"/>
      <c r="U31" s="174"/>
      <c r="V31" s="22"/>
      <c r="W31" s="33"/>
      <c r="X31" s="33"/>
      <c r="Y31" s="33"/>
      <c r="Z31" s="33"/>
      <c r="AA31" s="33"/>
      <c r="AB31" s="10"/>
      <c r="AC31" s="10"/>
      <c r="AD31" s="10"/>
      <c r="AE31" s="10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</row>
    <row r="32" spans="1:215" ht="17.649999999999999" customHeight="1" x14ac:dyDescent="0.35">
      <c r="A32" s="122" t="s">
        <v>102</v>
      </c>
      <c r="B32" s="124">
        <v>13</v>
      </c>
      <c r="C32" s="186"/>
      <c r="D32" s="124">
        <v>70</v>
      </c>
      <c r="E32" s="186"/>
      <c r="F32" s="124">
        <v>712</v>
      </c>
      <c r="G32" s="174"/>
      <c r="H32" s="174">
        <v>795</v>
      </c>
      <c r="I32" s="174"/>
      <c r="J32" s="124">
        <v>467</v>
      </c>
      <c r="K32" s="186"/>
      <c r="L32" s="124">
        <v>534</v>
      </c>
      <c r="M32" s="174"/>
      <c r="N32" s="174"/>
      <c r="O32" s="124">
        <v>414</v>
      </c>
      <c r="P32" s="174"/>
      <c r="Q32" s="174"/>
      <c r="R32" s="186"/>
      <c r="S32" s="124">
        <v>1415</v>
      </c>
      <c r="T32" s="174"/>
      <c r="U32" s="174"/>
      <c r="V32" s="22"/>
      <c r="W32" s="33"/>
      <c r="X32" s="33"/>
      <c r="Y32" s="33"/>
      <c r="Z32" s="33"/>
      <c r="AA32" s="33"/>
      <c r="AB32" s="10"/>
      <c r="AC32" s="10"/>
      <c r="AD32" s="10"/>
      <c r="AE32" s="10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</row>
    <row r="33" spans="1:215" ht="17.649999999999999" customHeight="1" x14ac:dyDescent="0.35">
      <c r="A33" s="122" t="s">
        <v>103</v>
      </c>
      <c r="B33" s="124">
        <v>14</v>
      </c>
      <c r="C33" s="174"/>
      <c r="D33" s="124">
        <v>54</v>
      </c>
      <c r="E33" s="174"/>
      <c r="F33" s="124">
        <v>1329</v>
      </c>
      <c r="G33" s="174"/>
      <c r="H33" s="174">
        <v>1397</v>
      </c>
      <c r="I33" s="174"/>
      <c r="J33" s="125">
        <v>953</v>
      </c>
      <c r="K33" s="174"/>
      <c r="L33" s="125">
        <v>979</v>
      </c>
      <c r="M33" s="174"/>
      <c r="N33" s="186"/>
      <c r="O33" s="125">
        <v>247</v>
      </c>
      <c r="P33" s="174"/>
      <c r="Q33" s="174"/>
      <c r="R33" s="186"/>
      <c r="S33" s="124">
        <v>2179</v>
      </c>
      <c r="T33" s="174"/>
      <c r="U33" s="174"/>
      <c r="V33" s="22"/>
      <c r="W33" s="33"/>
      <c r="X33" s="33"/>
      <c r="Y33" s="33"/>
      <c r="Z33" s="33"/>
      <c r="AA33" s="33"/>
      <c r="AB33" s="10"/>
      <c r="AC33" s="10"/>
      <c r="AD33" s="10"/>
      <c r="AE33" s="10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</row>
    <row r="34" spans="1:215" ht="17.649999999999999" customHeight="1" x14ac:dyDescent="0.35">
      <c r="A34" s="122" t="s">
        <v>104</v>
      </c>
      <c r="B34" s="124">
        <v>12</v>
      </c>
      <c r="C34" s="174"/>
      <c r="D34" s="124">
        <v>65</v>
      </c>
      <c r="E34" s="174"/>
      <c r="F34" s="124">
        <v>1040</v>
      </c>
      <c r="G34" s="174"/>
      <c r="H34" s="174">
        <v>1117</v>
      </c>
      <c r="I34" s="174"/>
      <c r="J34" s="125">
        <v>1044</v>
      </c>
      <c r="K34" s="174"/>
      <c r="L34" s="125">
        <v>885</v>
      </c>
      <c r="M34" s="174"/>
      <c r="N34" s="186"/>
      <c r="O34" s="125">
        <v>231</v>
      </c>
      <c r="P34" s="174"/>
      <c r="Q34" s="174"/>
      <c r="R34" s="186"/>
      <c r="S34" s="124">
        <v>2160</v>
      </c>
      <c r="T34" s="174"/>
      <c r="U34" s="174"/>
      <c r="V34" s="22"/>
      <c r="W34" s="33"/>
      <c r="X34" s="33"/>
      <c r="Y34" s="33"/>
      <c r="Z34" s="33"/>
      <c r="AA34" s="33"/>
      <c r="AB34" s="10"/>
      <c r="AC34" s="10"/>
      <c r="AD34" s="10"/>
      <c r="AE34" s="10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</row>
    <row r="35" spans="1:215" ht="17.649999999999999" customHeight="1" x14ac:dyDescent="0.35">
      <c r="A35" s="122" t="s">
        <v>28</v>
      </c>
      <c r="B35" s="124">
        <v>13</v>
      </c>
      <c r="C35" s="174"/>
      <c r="D35" s="124">
        <v>87</v>
      </c>
      <c r="E35" s="174"/>
      <c r="F35" s="124">
        <v>1043</v>
      </c>
      <c r="G35" s="174"/>
      <c r="H35" s="174">
        <v>1143</v>
      </c>
      <c r="I35" s="174"/>
      <c r="J35" s="125">
        <v>1076</v>
      </c>
      <c r="K35" s="174"/>
      <c r="L35" s="125">
        <v>535</v>
      </c>
      <c r="M35" s="174"/>
      <c r="N35" s="186"/>
      <c r="O35" s="125">
        <v>143</v>
      </c>
      <c r="P35" s="174"/>
      <c r="Q35" s="174"/>
      <c r="R35" s="186"/>
      <c r="S35" s="124">
        <v>1754</v>
      </c>
      <c r="T35" s="174"/>
      <c r="U35" s="174"/>
      <c r="V35" s="22"/>
      <c r="W35" s="33"/>
      <c r="X35" s="33"/>
      <c r="Y35" s="33"/>
      <c r="Z35" s="33"/>
      <c r="AA35" s="33"/>
      <c r="AB35" s="10"/>
      <c r="AC35" s="10"/>
      <c r="AD35" s="10"/>
      <c r="AE35" s="10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</row>
    <row r="36" spans="1:215" ht="17.649999999999999" customHeight="1" x14ac:dyDescent="0.35">
      <c r="A36" s="122" t="s">
        <v>29</v>
      </c>
      <c r="B36" s="124">
        <v>14</v>
      </c>
      <c r="C36" s="174"/>
      <c r="D36" s="124">
        <v>41</v>
      </c>
      <c r="E36" s="174"/>
      <c r="F36" s="124">
        <v>455</v>
      </c>
      <c r="G36" s="174"/>
      <c r="H36" s="174">
        <v>510</v>
      </c>
      <c r="I36" s="174"/>
      <c r="J36" s="125">
        <v>704</v>
      </c>
      <c r="K36" s="174"/>
      <c r="L36" s="125">
        <v>400</v>
      </c>
      <c r="M36" s="174"/>
      <c r="N36" s="186"/>
      <c r="O36" s="125">
        <v>115</v>
      </c>
      <c r="P36" s="174"/>
      <c r="Q36" s="174"/>
      <c r="R36" s="186"/>
      <c r="S36" s="124">
        <v>1219</v>
      </c>
      <c r="T36" s="174"/>
      <c r="U36" s="174"/>
      <c r="V36" s="22"/>
      <c r="W36" s="33"/>
      <c r="X36" s="33"/>
      <c r="Y36" s="33"/>
      <c r="Z36" s="33"/>
      <c r="AA36" s="33"/>
      <c r="AB36" s="10"/>
      <c r="AC36" s="10"/>
      <c r="AD36" s="10"/>
      <c r="AE36" s="10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</row>
    <row r="37" spans="1:215" ht="17.649999999999999" customHeight="1" x14ac:dyDescent="0.35">
      <c r="A37" s="122" t="s">
        <v>30</v>
      </c>
      <c r="B37" s="124">
        <v>7</v>
      </c>
      <c r="C37" s="174"/>
      <c r="D37" s="124">
        <v>33</v>
      </c>
      <c r="E37" s="174"/>
      <c r="F37" s="124">
        <v>447</v>
      </c>
      <c r="G37" s="174"/>
      <c r="H37" s="174">
        <v>487</v>
      </c>
      <c r="I37" s="174"/>
      <c r="J37" s="125">
        <v>981</v>
      </c>
      <c r="K37" s="174"/>
      <c r="L37" s="125">
        <v>695</v>
      </c>
      <c r="M37" s="174"/>
      <c r="N37" s="186"/>
      <c r="O37" s="125">
        <v>249</v>
      </c>
      <c r="P37" s="174"/>
      <c r="Q37" s="174"/>
      <c r="R37" s="186"/>
      <c r="S37" s="124">
        <v>1925</v>
      </c>
      <c r="T37" s="174"/>
      <c r="U37" s="174"/>
      <c r="V37" s="22"/>
      <c r="W37" s="33"/>
      <c r="X37" s="33"/>
      <c r="Y37" s="33"/>
      <c r="Z37" s="33"/>
      <c r="AA37" s="33"/>
      <c r="AB37" s="10"/>
      <c r="AC37" s="10"/>
      <c r="AD37" s="10"/>
      <c r="AE37" s="10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</row>
    <row r="38" spans="1:215" ht="17.649999999999999" customHeight="1" x14ac:dyDescent="0.35">
      <c r="A38" s="122" t="s">
        <v>31</v>
      </c>
      <c r="B38" s="124">
        <v>12</v>
      </c>
      <c r="C38" s="174"/>
      <c r="D38" s="124">
        <v>55</v>
      </c>
      <c r="E38" s="174"/>
      <c r="F38" s="124">
        <v>10533</v>
      </c>
      <c r="G38" s="174"/>
      <c r="H38" s="174">
        <v>10600</v>
      </c>
      <c r="I38" s="174"/>
      <c r="J38" s="125">
        <v>467</v>
      </c>
      <c r="K38" s="174"/>
      <c r="L38" s="125">
        <v>715</v>
      </c>
      <c r="M38" s="174"/>
      <c r="N38" s="186"/>
      <c r="O38" s="125">
        <v>211</v>
      </c>
      <c r="P38" s="174"/>
      <c r="Q38" s="174"/>
      <c r="R38" s="186"/>
      <c r="S38" s="124">
        <v>1393</v>
      </c>
      <c r="T38" s="174"/>
      <c r="U38" s="174"/>
      <c r="V38" s="22"/>
      <c r="W38" s="33"/>
      <c r="X38" s="33"/>
      <c r="Y38" s="33"/>
      <c r="Z38" s="33"/>
      <c r="AA38" s="33"/>
      <c r="AB38" s="10"/>
      <c r="AC38" s="10"/>
      <c r="AD38" s="10"/>
      <c r="AE38" s="10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</row>
    <row r="39" spans="1:215" ht="17.649999999999999" customHeight="1" x14ac:dyDescent="0.35">
      <c r="A39" s="122" t="s">
        <v>32</v>
      </c>
      <c r="B39" s="124">
        <v>12</v>
      </c>
      <c r="C39" s="174"/>
      <c r="D39" s="124">
        <v>45</v>
      </c>
      <c r="E39" s="174"/>
      <c r="F39" s="124">
        <v>590</v>
      </c>
      <c r="G39" s="174"/>
      <c r="H39" s="174">
        <v>647</v>
      </c>
      <c r="I39" s="174"/>
      <c r="J39" s="125">
        <v>853</v>
      </c>
      <c r="K39" s="174"/>
      <c r="L39" s="125">
        <v>773</v>
      </c>
      <c r="M39" s="174"/>
      <c r="N39" s="186"/>
      <c r="O39" s="125">
        <v>200</v>
      </c>
      <c r="P39" s="174"/>
      <c r="Q39" s="174"/>
      <c r="R39" s="186"/>
      <c r="S39" s="124">
        <v>1826</v>
      </c>
      <c r="T39" s="174"/>
      <c r="U39" s="174"/>
      <c r="V39" s="22"/>
      <c r="W39" s="33"/>
      <c r="X39" s="33"/>
      <c r="Y39" s="33"/>
      <c r="Z39" s="33"/>
      <c r="AA39" s="33"/>
      <c r="AB39" s="10"/>
      <c r="AC39" s="10"/>
      <c r="AD39" s="10"/>
      <c r="AE39" s="10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</row>
    <row r="40" spans="1:215" ht="17.649999999999999" customHeight="1" x14ac:dyDescent="0.35">
      <c r="A40" s="122" t="s">
        <v>33</v>
      </c>
      <c r="B40" s="124">
        <v>12</v>
      </c>
      <c r="C40" s="174"/>
      <c r="D40" s="124">
        <v>74</v>
      </c>
      <c r="E40" s="174"/>
      <c r="F40" s="124">
        <v>584</v>
      </c>
      <c r="G40" s="174"/>
      <c r="H40" s="174">
        <v>670</v>
      </c>
      <c r="I40" s="174"/>
      <c r="J40" s="125">
        <v>875</v>
      </c>
      <c r="K40" s="174"/>
      <c r="L40" s="125">
        <v>809</v>
      </c>
      <c r="M40" s="174"/>
      <c r="N40" s="186"/>
      <c r="O40" s="125">
        <v>204</v>
      </c>
      <c r="P40" s="174"/>
      <c r="Q40" s="174"/>
      <c r="R40" s="186"/>
      <c r="S40" s="124">
        <v>1888</v>
      </c>
      <c r="T40" s="174"/>
      <c r="U40" s="174"/>
      <c r="V40" s="22"/>
      <c r="W40" s="33"/>
      <c r="X40" s="33"/>
      <c r="Y40" s="33"/>
      <c r="Z40" s="33"/>
      <c r="AA40" s="33"/>
      <c r="AB40" s="10"/>
      <c r="AC40" s="10"/>
      <c r="AD40" s="10"/>
      <c r="AE40" s="10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</row>
    <row r="41" spans="1:215" ht="17.649999999999999" customHeight="1" x14ac:dyDescent="0.35">
      <c r="A41" s="122" t="s">
        <v>34</v>
      </c>
      <c r="B41" s="124">
        <v>5</v>
      </c>
      <c r="C41" s="174"/>
      <c r="D41" s="124">
        <v>76</v>
      </c>
      <c r="E41" s="174"/>
      <c r="F41" s="124">
        <v>136</v>
      </c>
      <c r="G41" s="174"/>
      <c r="H41" s="174">
        <v>217</v>
      </c>
      <c r="I41" s="174"/>
      <c r="J41" s="125">
        <v>695</v>
      </c>
      <c r="K41" s="174"/>
      <c r="L41" s="125">
        <v>584</v>
      </c>
      <c r="M41" s="174"/>
      <c r="N41" s="186"/>
      <c r="O41" s="174">
        <v>43</v>
      </c>
      <c r="P41" s="174"/>
      <c r="Q41" s="174"/>
      <c r="R41" s="186"/>
      <c r="S41" s="124">
        <v>1322</v>
      </c>
      <c r="T41" s="174"/>
      <c r="U41" s="174"/>
      <c r="V41" s="22"/>
      <c r="W41" s="33"/>
      <c r="X41" s="33"/>
      <c r="Y41" s="33"/>
      <c r="Z41" s="33"/>
      <c r="AA41" s="33"/>
      <c r="AB41" s="10"/>
      <c r="AC41" s="10"/>
      <c r="AD41" s="10"/>
      <c r="AE41" s="10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</row>
    <row r="42" spans="1:215" ht="17.649999999999999" customHeight="1" x14ac:dyDescent="0.35">
      <c r="A42" s="122" t="s">
        <v>35</v>
      </c>
      <c r="B42" s="127">
        <v>0</v>
      </c>
      <c r="C42" s="124"/>
      <c r="D42" s="124">
        <v>80</v>
      </c>
      <c r="E42" s="124"/>
      <c r="F42" s="124">
        <v>281</v>
      </c>
      <c r="G42" s="124"/>
      <c r="H42" s="174">
        <v>361</v>
      </c>
      <c r="I42" s="124"/>
      <c r="J42" s="124">
        <v>157</v>
      </c>
      <c r="K42" s="124"/>
      <c r="L42" s="124">
        <v>271</v>
      </c>
      <c r="M42" s="124"/>
      <c r="N42" s="125"/>
      <c r="O42" s="124">
        <v>41</v>
      </c>
      <c r="P42" s="124"/>
      <c r="Q42" s="124"/>
      <c r="R42" s="125"/>
      <c r="S42" s="124">
        <v>469</v>
      </c>
      <c r="T42" s="124"/>
      <c r="U42" s="124"/>
      <c r="V42" s="14"/>
      <c r="W42" s="9"/>
      <c r="X42" s="9"/>
      <c r="Y42" s="9"/>
      <c r="Z42" s="9"/>
      <c r="AA42" s="9"/>
      <c r="AB42" s="15"/>
      <c r="AC42" s="15"/>
      <c r="AD42" s="15"/>
      <c r="AE42" s="15"/>
    </row>
    <row r="43" spans="1:215" ht="17.649999999999999" customHeight="1" x14ac:dyDescent="0.3">
      <c r="A43" s="122" t="s">
        <v>36</v>
      </c>
      <c r="B43" s="127">
        <v>0</v>
      </c>
      <c r="C43" s="124"/>
      <c r="D43" s="124">
        <v>74</v>
      </c>
      <c r="E43" s="124"/>
      <c r="F43" s="124">
        <v>401</v>
      </c>
      <c r="G43" s="124"/>
      <c r="H43" s="124">
        <v>475</v>
      </c>
      <c r="I43" s="124"/>
      <c r="J43" s="124">
        <v>418</v>
      </c>
      <c r="K43" s="124"/>
      <c r="L43" s="124">
        <v>292</v>
      </c>
      <c r="M43" s="124"/>
      <c r="N43" s="125"/>
      <c r="O43" s="124">
        <v>160</v>
      </c>
      <c r="P43" s="124"/>
      <c r="Q43" s="124"/>
      <c r="R43" s="125"/>
      <c r="S43" s="124">
        <v>870</v>
      </c>
      <c r="T43" s="124"/>
      <c r="U43" s="124"/>
      <c r="V43" s="14"/>
      <c r="W43" s="9"/>
      <c r="X43" s="9"/>
      <c r="Y43" s="9"/>
      <c r="Z43" s="9"/>
      <c r="AA43" s="9"/>
      <c r="AB43" s="15"/>
      <c r="AC43" s="15"/>
      <c r="AD43" s="15"/>
      <c r="AE43" s="15"/>
    </row>
    <row r="44" spans="1:215" ht="17.649999999999999" customHeight="1" x14ac:dyDescent="0.3">
      <c r="A44" s="122" t="s">
        <v>37</v>
      </c>
      <c r="B44" s="127">
        <v>0</v>
      </c>
      <c r="C44" s="124"/>
      <c r="D44" s="124">
        <v>103</v>
      </c>
      <c r="E44" s="124"/>
      <c r="F44" s="124">
        <v>454</v>
      </c>
      <c r="G44" s="124"/>
      <c r="H44" s="124">
        <v>557</v>
      </c>
      <c r="I44" s="124"/>
      <c r="J44" s="124">
        <v>547</v>
      </c>
      <c r="K44" s="124"/>
      <c r="L44" s="124">
        <v>487</v>
      </c>
      <c r="M44" s="124"/>
      <c r="N44" s="125"/>
      <c r="O44" s="124">
        <v>130</v>
      </c>
      <c r="P44" s="124"/>
      <c r="Q44" s="124"/>
      <c r="R44" s="125"/>
      <c r="S44" s="124">
        <v>1164</v>
      </c>
      <c r="T44" s="124"/>
      <c r="U44" s="124"/>
      <c r="V44" s="14"/>
      <c r="W44" s="9"/>
      <c r="X44" s="9"/>
      <c r="Y44" s="9"/>
      <c r="Z44" s="9"/>
      <c r="AA44" s="9"/>
      <c r="AB44" s="15"/>
      <c r="AC44" s="15"/>
      <c r="AD44" s="15"/>
      <c r="AE44" s="15"/>
    </row>
    <row r="45" spans="1:215" ht="17.649999999999999" customHeight="1" x14ac:dyDescent="0.3">
      <c r="A45" s="122" t="s">
        <v>38</v>
      </c>
      <c r="B45" s="127">
        <v>0</v>
      </c>
      <c r="C45" s="124"/>
      <c r="D45" s="124">
        <v>94</v>
      </c>
      <c r="E45" s="124"/>
      <c r="F45" s="124">
        <v>599</v>
      </c>
      <c r="G45" s="124"/>
      <c r="H45" s="124">
        <v>693</v>
      </c>
      <c r="I45" s="124"/>
      <c r="J45" s="124">
        <v>800</v>
      </c>
      <c r="K45" s="124"/>
      <c r="L45" s="124">
        <v>662</v>
      </c>
      <c r="M45" s="124"/>
      <c r="N45" s="125"/>
      <c r="O45" s="124">
        <v>79</v>
      </c>
      <c r="P45" s="124"/>
      <c r="Q45" s="124"/>
      <c r="R45" s="125"/>
      <c r="S45" s="124">
        <v>1541</v>
      </c>
      <c r="T45" s="124"/>
      <c r="U45" s="124"/>
      <c r="V45" s="14"/>
      <c r="W45" s="9"/>
      <c r="X45" s="9"/>
      <c r="Y45" s="9"/>
      <c r="Z45" s="9"/>
      <c r="AA45" s="9"/>
      <c r="AB45" s="15"/>
      <c r="AC45" s="15"/>
      <c r="AD45" s="15"/>
      <c r="AE45" s="15"/>
    </row>
    <row r="46" spans="1:215" ht="17.649999999999999" customHeight="1" x14ac:dyDescent="0.3">
      <c r="A46" s="122" t="s">
        <v>39</v>
      </c>
      <c r="B46" s="127">
        <v>0</v>
      </c>
      <c r="C46" s="124"/>
      <c r="D46" s="124">
        <v>83</v>
      </c>
      <c r="E46" s="124"/>
      <c r="F46" s="124">
        <v>611</v>
      </c>
      <c r="G46" s="124"/>
      <c r="H46" s="124">
        <v>694</v>
      </c>
      <c r="I46" s="124"/>
      <c r="J46" s="124">
        <v>603</v>
      </c>
      <c r="K46" s="124"/>
      <c r="L46" s="124">
        <v>637</v>
      </c>
      <c r="M46" s="124"/>
      <c r="N46" s="125"/>
      <c r="O46" s="124">
        <v>116</v>
      </c>
      <c r="P46" s="124"/>
      <c r="Q46" s="124"/>
      <c r="R46" s="125"/>
      <c r="S46" s="124">
        <v>1356</v>
      </c>
      <c r="T46" s="124"/>
      <c r="U46" s="124"/>
      <c r="V46" s="14"/>
      <c r="W46" s="9"/>
      <c r="X46" s="9"/>
      <c r="Y46" s="9"/>
      <c r="Z46" s="9"/>
      <c r="AA46" s="9"/>
      <c r="AB46" s="15"/>
      <c r="AC46" s="15"/>
      <c r="AD46" s="15"/>
      <c r="AE46" s="15"/>
    </row>
    <row r="47" spans="1:215" ht="17.649999999999999" customHeight="1" x14ac:dyDescent="0.3">
      <c r="A47" s="122" t="s">
        <v>40</v>
      </c>
      <c r="B47" s="127">
        <v>0</v>
      </c>
      <c r="C47" s="124"/>
      <c r="D47" s="124">
        <v>229</v>
      </c>
      <c r="E47" s="124"/>
      <c r="F47" s="124">
        <v>609</v>
      </c>
      <c r="G47" s="124"/>
      <c r="H47" s="124">
        <v>838</v>
      </c>
      <c r="I47" s="124"/>
      <c r="J47" s="124">
        <v>720</v>
      </c>
      <c r="K47" s="124"/>
      <c r="L47" s="124">
        <v>562</v>
      </c>
      <c r="M47" s="124"/>
      <c r="N47" s="125"/>
      <c r="O47" s="124">
        <v>95</v>
      </c>
      <c r="P47" s="124"/>
      <c r="Q47" s="124"/>
      <c r="R47" s="125"/>
      <c r="S47" s="124">
        <v>1377</v>
      </c>
      <c r="T47" s="124"/>
      <c r="U47" s="124"/>
      <c r="V47" s="14"/>
      <c r="W47" s="9"/>
      <c r="X47" s="9"/>
      <c r="Y47" s="9"/>
      <c r="Z47" s="9"/>
      <c r="AA47" s="9"/>
      <c r="AB47" s="15"/>
      <c r="AC47" s="15"/>
      <c r="AD47" s="15"/>
      <c r="AE47" s="15"/>
    </row>
    <row r="48" spans="1:215" ht="17.649999999999999" customHeight="1" x14ac:dyDescent="0.3">
      <c r="A48" s="122" t="s">
        <v>41</v>
      </c>
      <c r="B48" s="124">
        <v>0</v>
      </c>
      <c r="C48" s="124"/>
      <c r="D48" s="124">
        <v>293</v>
      </c>
      <c r="E48" s="124"/>
      <c r="F48" s="124">
        <v>228</v>
      </c>
      <c r="G48" s="124"/>
      <c r="H48" s="124">
        <v>521</v>
      </c>
      <c r="I48" s="124"/>
      <c r="J48" s="124">
        <v>448</v>
      </c>
      <c r="K48" s="124"/>
      <c r="L48" s="124">
        <v>342</v>
      </c>
      <c r="M48" s="124"/>
      <c r="N48" s="125"/>
      <c r="O48" s="124">
        <v>63</v>
      </c>
      <c r="P48" s="124"/>
      <c r="Q48" s="124"/>
      <c r="R48" s="125"/>
      <c r="S48" s="124">
        <v>853</v>
      </c>
      <c r="T48" s="124"/>
      <c r="U48" s="124"/>
      <c r="V48" s="14"/>
      <c r="W48" s="9"/>
      <c r="X48" s="9"/>
      <c r="Y48" s="9"/>
      <c r="Z48" s="9"/>
      <c r="AA48" s="9"/>
      <c r="AB48" s="15"/>
      <c r="AC48" s="15"/>
      <c r="AD48" s="15"/>
      <c r="AE48" s="15"/>
    </row>
    <row r="49" spans="1:31" ht="17.649999999999999" customHeight="1" x14ac:dyDescent="0.3">
      <c r="A49" s="122" t="s">
        <v>42</v>
      </c>
      <c r="B49" s="124">
        <v>11</v>
      </c>
      <c r="C49" s="124"/>
      <c r="D49" s="124">
        <v>136.57142857142858</v>
      </c>
      <c r="E49" s="124"/>
      <c r="F49" s="124">
        <v>454.71428571428572</v>
      </c>
      <c r="G49" s="124"/>
      <c r="H49" s="124">
        <v>602.28571428571433</v>
      </c>
      <c r="I49" s="124"/>
      <c r="J49" s="124">
        <v>527.57142857142856</v>
      </c>
      <c r="K49" s="124"/>
      <c r="L49" s="124">
        <v>464.71428571428572</v>
      </c>
      <c r="M49" s="124"/>
      <c r="N49" s="125"/>
      <c r="O49" s="124">
        <v>97.714285714285708</v>
      </c>
      <c r="P49" s="124"/>
      <c r="Q49" s="124"/>
      <c r="R49" s="125"/>
      <c r="S49" s="124">
        <v>1090</v>
      </c>
      <c r="T49" s="124"/>
      <c r="U49" s="124"/>
      <c r="V49" s="14"/>
      <c r="W49" s="9"/>
      <c r="X49" s="9"/>
      <c r="Y49" s="9"/>
      <c r="Z49" s="9"/>
      <c r="AA49" s="9"/>
      <c r="AB49" s="15"/>
      <c r="AC49" s="15"/>
      <c r="AD49" s="15"/>
      <c r="AE49" s="15"/>
    </row>
    <row r="50" spans="1:31" ht="17.649999999999999" customHeight="1" x14ac:dyDescent="0.3">
      <c r="A50" s="122" t="s">
        <v>43</v>
      </c>
      <c r="B50" s="124">
        <v>11</v>
      </c>
      <c r="C50" s="124">
        <v>10.744762</v>
      </c>
      <c r="D50" s="124">
        <v>136.57142857142858</v>
      </c>
      <c r="E50" s="124">
        <v>133</v>
      </c>
      <c r="F50" s="124">
        <v>454.71428571428572</v>
      </c>
      <c r="G50" s="124">
        <v>444</v>
      </c>
      <c r="H50" s="124">
        <v>602.28571428571433</v>
      </c>
      <c r="I50" s="124">
        <v>587.74476200000004</v>
      </c>
      <c r="J50" s="124">
        <v>527.57142857142856</v>
      </c>
      <c r="K50" s="124">
        <v>515</v>
      </c>
      <c r="L50" s="124">
        <v>464.71428571428572</v>
      </c>
      <c r="M50" s="124">
        <v>453.93132500000002</v>
      </c>
      <c r="N50" s="125"/>
      <c r="O50" s="124">
        <v>97.714285714285708</v>
      </c>
      <c r="P50" s="124"/>
      <c r="Q50" s="124">
        <v>95.446979999999996</v>
      </c>
      <c r="R50" s="125"/>
      <c r="S50" s="124">
        <v>1090</v>
      </c>
      <c r="T50" s="124"/>
      <c r="U50" s="124">
        <v>1064.378305</v>
      </c>
      <c r="V50" s="14"/>
      <c r="W50" s="9"/>
      <c r="X50" s="9"/>
      <c r="Y50" s="9"/>
      <c r="Z50" s="9"/>
      <c r="AA50" s="9"/>
      <c r="AB50" s="15"/>
      <c r="AC50" s="15"/>
      <c r="AD50" s="15"/>
      <c r="AE50" s="15"/>
    </row>
    <row r="51" spans="1:31" ht="17.649999999999999" customHeight="1" x14ac:dyDescent="0.3">
      <c r="A51" s="122" t="s">
        <v>44</v>
      </c>
      <c r="B51" s="124">
        <v>11</v>
      </c>
      <c r="C51" s="124">
        <v>10.495447</v>
      </c>
      <c r="D51" s="124">
        <v>136.57142857142858</v>
      </c>
      <c r="E51" s="124">
        <v>130</v>
      </c>
      <c r="F51" s="124">
        <v>454.71428571428572</v>
      </c>
      <c r="G51" s="124">
        <v>434</v>
      </c>
      <c r="H51" s="124">
        <v>602.28571428571433</v>
      </c>
      <c r="I51" s="124">
        <v>574.49544700000001</v>
      </c>
      <c r="J51" s="124">
        <v>527.57142857142856</v>
      </c>
      <c r="K51" s="124">
        <v>503</v>
      </c>
      <c r="L51" s="124">
        <v>464.71428571428572</v>
      </c>
      <c r="M51" s="124">
        <v>443.39856600000002</v>
      </c>
      <c r="N51" s="125"/>
      <c r="O51" s="124">
        <v>97.714285714285708</v>
      </c>
      <c r="P51" s="124"/>
      <c r="Q51" s="124">
        <v>93.232284000000007</v>
      </c>
      <c r="R51" s="125"/>
      <c r="S51" s="124">
        <v>1090</v>
      </c>
      <c r="T51" s="124"/>
      <c r="U51" s="124">
        <v>1039.63085</v>
      </c>
      <c r="V51" s="14"/>
      <c r="W51" s="9"/>
      <c r="X51" s="9"/>
      <c r="Y51" s="9"/>
      <c r="Z51" s="9"/>
      <c r="AA51" s="9"/>
      <c r="AB51" s="15"/>
      <c r="AC51" s="15"/>
      <c r="AD51" s="15"/>
      <c r="AE51" s="15"/>
    </row>
    <row r="52" spans="1:31" ht="17.649999999999999" customHeight="1" x14ac:dyDescent="0.3">
      <c r="A52" s="122" t="s">
        <v>45</v>
      </c>
      <c r="B52" s="124">
        <v>11</v>
      </c>
      <c r="C52" s="124">
        <v>10.251917000000001</v>
      </c>
      <c r="D52" s="124">
        <v>136.57142857142858</v>
      </c>
      <c r="E52" s="124">
        <v>127</v>
      </c>
      <c r="F52" s="124">
        <v>454.71428571428572</v>
      </c>
      <c r="G52" s="124">
        <v>424</v>
      </c>
      <c r="H52" s="124">
        <v>602.28571428571433</v>
      </c>
      <c r="I52" s="124">
        <v>561.25191700000005</v>
      </c>
      <c r="J52" s="124">
        <v>527.57142857142856</v>
      </c>
      <c r="K52" s="124">
        <v>492</v>
      </c>
      <c r="L52" s="124">
        <v>464.71428571428572</v>
      </c>
      <c r="M52" s="124">
        <v>433.11020300000001</v>
      </c>
      <c r="N52" s="125"/>
      <c r="O52" s="124">
        <v>97.714285714285708</v>
      </c>
      <c r="P52" s="124"/>
      <c r="Q52" s="124">
        <v>91.068976000000006</v>
      </c>
      <c r="R52" s="125"/>
      <c r="S52" s="124">
        <v>1090</v>
      </c>
      <c r="T52" s="124"/>
      <c r="U52" s="124">
        <v>1016.179179</v>
      </c>
      <c r="V52" s="14"/>
      <c r="W52" s="9"/>
      <c r="X52" s="9"/>
      <c r="Y52" s="9"/>
      <c r="Z52" s="9"/>
      <c r="AA52" s="9"/>
      <c r="AB52" s="15"/>
      <c r="AC52" s="15"/>
      <c r="AD52" s="15"/>
      <c r="AE52" s="15"/>
    </row>
    <row r="53" spans="1:31" ht="17.649999999999999" customHeight="1" x14ac:dyDescent="0.3">
      <c r="A53" s="122" t="s">
        <v>46</v>
      </c>
      <c r="B53" s="124">
        <v>11</v>
      </c>
      <c r="C53" s="124">
        <v>10.014037</v>
      </c>
      <c r="D53" s="124">
        <v>136.57142857142858</v>
      </c>
      <c r="E53" s="124">
        <v>124</v>
      </c>
      <c r="F53" s="124">
        <v>454.71428571428572</v>
      </c>
      <c r="G53" s="124">
        <v>414</v>
      </c>
      <c r="H53" s="124">
        <v>602.28571428571433</v>
      </c>
      <c r="I53" s="124">
        <v>548.01403700000003</v>
      </c>
      <c r="J53" s="124">
        <v>527.57142857142856</v>
      </c>
      <c r="K53" s="124">
        <v>480</v>
      </c>
      <c r="L53" s="124">
        <v>464.71428571428572</v>
      </c>
      <c r="M53" s="124">
        <v>423.060565</v>
      </c>
      <c r="N53" s="125"/>
      <c r="O53" s="124">
        <v>97.714285714285708</v>
      </c>
      <c r="P53" s="124"/>
      <c r="Q53" s="124">
        <v>88.955864000000005</v>
      </c>
      <c r="R53" s="125"/>
      <c r="S53" s="124">
        <v>1090</v>
      </c>
      <c r="T53" s="124"/>
      <c r="U53" s="124">
        <v>992.01642900000002</v>
      </c>
      <c r="V53" s="14"/>
      <c r="W53" s="9"/>
      <c r="X53" s="9"/>
      <c r="Y53" s="9"/>
      <c r="Z53" s="9"/>
      <c r="AA53" s="9"/>
      <c r="AB53" s="15"/>
      <c r="AC53" s="15"/>
      <c r="AD53" s="15"/>
      <c r="AE53" s="15"/>
    </row>
    <row r="54" spans="1:31" ht="17.649999999999999" customHeight="1" x14ac:dyDescent="0.3">
      <c r="A54" s="122" t="s">
        <v>47</v>
      </c>
      <c r="B54" s="124">
        <v>11</v>
      </c>
      <c r="C54" s="124">
        <v>9.7816770000000002</v>
      </c>
      <c r="D54" s="124">
        <v>136.57142857142858</v>
      </c>
      <c r="E54" s="124">
        <v>121</v>
      </c>
      <c r="F54" s="124">
        <v>454.71428571428572</v>
      </c>
      <c r="G54" s="124">
        <v>404</v>
      </c>
      <c r="H54" s="124">
        <v>602.28571428571433</v>
      </c>
      <c r="I54" s="124">
        <v>534.78167699999995</v>
      </c>
      <c r="J54" s="124">
        <v>527.57142857142856</v>
      </c>
      <c r="K54" s="124">
        <v>469</v>
      </c>
      <c r="L54" s="124">
        <v>464.71428571428572</v>
      </c>
      <c r="M54" s="124">
        <v>413.24411300000003</v>
      </c>
      <c r="N54" s="125"/>
      <c r="O54" s="124">
        <v>97.714285714285708</v>
      </c>
      <c r="P54" s="124"/>
      <c r="Q54" s="124">
        <v>86.891784000000001</v>
      </c>
      <c r="R54" s="125"/>
      <c r="S54" s="124">
        <v>1090</v>
      </c>
      <c r="T54" s="124"/>
      <c r="U54" s="124">
        <v>969.135897</v>
      </c>
      <c r="V54" s="14"/>
      <c r="W54" s="9"/>
      <c r="X54" s="9"/>
      <c r="Y54" s="9"/>
      <c r="Z54" s="9"/>
      <c r="AA54" s="9"/>
      <c r="AB54" s="15"/>
      <c r="AC54" s="15"/>
      <c r="AD54" s="15"/>
      <c r="AE54" s="15"/>
    </row>
    <row r="55" spans="1:31" ht="17.649999999999999" customHeight="1" x14ac:dyDescent="0.3">
      <c r="A55" s="122" t="s">
        <v>48</v>
      </c>
      <c r="B55" s="124">
        <v>11</v>
      </c>
      <c r="C55" s="124">
        <v>9.5547090000000008</v>
      </c>
      <c r="D55" s="124">
        <v>136.57142857142858</v>
      </c>
      <c r="E55" s="124">
        <v>119</v>
      </c>
      <c r="F55" s="124">
        <v>454.71428571428572</v>
      </c>
      <c r="G55" s="124">
        <v>395</v>
      </c>
      <c r="H55" s="124">
        <v>602.28571428571433</v>
      </c>
      <c r="I55" s="124">
        <v>523.554709</v>
      </c>
      <c r="J55" s="124">
        <v>527.57142857142856</v>
      </c>
      <c r="K55" s="124">
        <v>458</v>
      </c>
      <c r="L55" s="124">
        <v>464.71428571428572</v>
      </c>
      <c r="M55" s="124">
        <v>403.65543600000001</v>
      </c>
      <c r="N55" s="125"/>
      <c r="O55" s="124">
        <v>97.714285714285708</v>
      </c>
      <c r="P55" s="124"/>
      <c r="Q55" s="124">
        <v>84.875596999999999</v>
      </c>
      <c r="R55" s="125"/>
      <c r="S55" s="124">
        <v>1090</v>
      </c>
      <c r="T55" s="124"/>
      <c r="U55" s="124">
        <v>946.53103299999998</v>
      </c>
      <c r="V55" s="14"/>
      <c r="W55" s="9"/>
      <c r="X55" s="9"/>
      <c r="Y55" s="9"/>
      <c r="Z55" s="9"/>
      <c r="AA55" s="9"/>
      <c r="AB55" s="15"/>
      <c r="AC55" s="15"/>
      <c r="AD55" s="15"/>
      <c r="AE55" s="15"/>
    </row>
    <row r="56" spans="1:31" ht="17.649999999999999" customHeight="1" x14ac:dyDescent="0.3">
      <c r="A56" s="122" t="s">
        <v>49</v>
      </c>
      <c r="B56" s="124">
        <v>11</v>
      </c>
      <c r="C56" s="124">
        <v>9.3330070000000003</v>
      </c>
      <c r="D56" s="124">
        <v>136.57142857142858</v>
      </c>
      <c r="E56" s="124">
        <v>116</v>
      </c>
      <c r="F56" s="124">
        <v>454.71428571428572</v>
      </c>
      <c r="G56" s="124">
        <v>386</v>
      </c>
      <c r="H56" s="124">
        <v>602.28571428571433</v>
      </c>
      <c r="I56" s="124">
        <v>511.33300700000001</v>
      </c>
      <c r="J56" s="124">
        <v>527.57142857142856</v>
      </c>
      <c r="K56" s="124">
        <v>448</v>
      </c>
      <c r="L56" s="124">
        <v>464.71428571428572</v>
      </c>
      <c r="M56" s="124">
        <v>394.28924999999998</v>
      </c>
      <c r="N56" s="125"/>
      <c r="O56" s="124">
        <v>97.714285714285708</v>
      </c>
      <c r="P56" s="124"/>
      <c r="Q56" s="124">
        <v>82.906193000000002</v>
      </c>
      <c r="R56" s="125"/>
      <c r="S56" s="124">
        <v>1090</v>
      </c>
      <c r="T56" s="124"/>
      <c r="U56" s="124">
        <v>925.19544300000007</v>
      </c>
      <c r="V56" s="14"/>
      <c r="W56" s="9"/>
      <c r="X56" s="9"/>
      <c r="Y56" s="9"/>
      <c r="Z56" s="9"/>
      <c r="AA56" s="9"/>
      <c r="AB56" s="15"/>
      <c r="AC56" s="15"/>
      <c r="AD56" s="15"/>
      <c r="AE56" s="15"/>
    </row>
    <row r="57" spans="1:31" ht="17.649999999999999" customHeight="1" thickBot="1" x14ac:dyDescent="0.35">
      <c r="A57" s="122" t="s">
        <v>50</v>
      </c>
      <c r="B57" s="124">
        <v>11</v>
      </c>
      <c r="C57" s="124">
        <v>9.1164489999999994</v>
      </c>
      <c r="D57" s="124">
        <v>136.57142857142858</v>
      </c>
      <c r="E57" s="124">
        <v>113</v>
      </c>
      <c r="F57" s="124">
        <v>454.71428571428572</v>
      </c>
      <c r="G57" s="124">
        <v>377</v>
      </c>
      <c r="H57" s="124">
        <v>602.28571428571433</v>
      </c>
      <c r="I57" s="124">
        <v>499.11644899999999</v>
      </c>
      <c r="J57" s="124">
        <v>527.57142857142856</v>
      </c>
      <c r="K57" s="124">
        <v>437</v>
      </c>
      <c r="L57" s="124">
        <v>464.71428571428572</v>
      </c>
      <c r="M57" s="124">
        <v>385.14039000000002</v>
      </c>
      <c r="N57" s="125"/>
      <c r="O57" s="124">
        <v>97.714285714285708</v>
      </c>
      <c r="P57" s="124"/>
      <c r="Q57" s="124">
        <v>80.982485999999994</v>
      </c>
      <c r="R57" s="125"/>
      <c r="S57" s="124">
        <v>1090</v>
      </c>
      <c r="T57" s="124"/>
      <c r="U57" s="124">
        <v>903.12287600000002</v>
      </c>
      <c r="V57" s="14"/>
      <c r="W57" s="9"/>
      <c r="X57" s="9"/>
      <c r="Y57" s="9"/>
      <c r="Z57" s="9"/>
      <c r="AA57" s="9"/>
      <c r="AB57" s="15"/>
      <c r="AC57" s="15"/>
      <c r="AD57" s="15"/>
      <c r="AE57" s="15"/>
    </row>
    <row r="58" spans="1:31" ht="17.649999999999999" customHeight="1" x14ac:dyDescent="0.3">
      <c r="A58" s="122" t="s">
        <v>51</v>
      </c>
      <c r="B58" s="133">
        <v>565</v>
      </c>
      <c r="C58" s="133">
        <v>79.292005000000003</v>
      </c>
      <c r="D58" s="133">
        <v>3398.142857142856</v>
      </c>
      <c r="E58" s="133">
        <v>983</v>
      </c>
      <c r="F58" s="133">
        <v>35170.428571428558</v>
      </c>
      <c r="G58" s="133">
        <v>3278</v>
      </c>
      <c r="H58" s="133">
        <v>39133.571428571457</v>
      </c>
      <c r="I58" s="133">
        <v>4340.2920050000002</v>
      </c>
      <c r="J58" s="133">
        <v>33309.319707942137</v>
      </c>
      <c r="K58" s="133">
        <v>3802</v>
      </c>
      <c r="L58" s="133">
        <v>29673.571428571431</v>
      </c>
      <c r="M58" s="133">
        <v>3349.8298479999999</v>
      </c>
      <c r="N58" s="133"/>
      <c r="O58" s="133">
        <v>7545.2002920578516</v>
      </c>
      <c r="P58" s="133"/>
      <c r="Q58" s="133">
        <v>704.36016400000005</v>
      </c>
      <c r="R58" s="133"/>
      <c r="S58" s="133">
        <v>70528.091428571439</v>
      </c>
      <c r="T58" s="133"/>
      <c r="U58" s="133">
        <v>7856.190012</v>
      </c>
      <c r="V58" s="14"/>
      <c r="W58" s="9"/>
      <c r="X58" s="9"/>
      <c r="Y58" s="9"/>
      <c r="Z58" s="9"/>
      <c r="AA58" s="9"/>
      <c r="AB58" s="15"/>
      <c r="AC58" s="15"/>
      <c r="AD58" s="15"/>
      <c r="AE58" s="15"/>
    </row>
    <row r="59" spans="1:31" ht="17.649999999999999" customHeight="1" x14ac:dyDescent="0.3">
      <c r="A59" s="122" t="s">
        <v>72</v>
      </c>
      <c r="B59" s="124">
        <v>11</v>
      </c>
      <c r="C59" s="124"/>
      <c r="D59" s="124">
        <v>136.57142857142858</v>
      </c>
      <c r="E59" s="124"/>
      <c r="F59" s="124">
        <v>454.71428571428572</v>
      </c>
      <c r="G59" s="124"/>
      <c r="H59" s="124">
        <v>602.28571428571433</v>
      </c>
      <c r="I59" s="124"/>
      <c r="J59" s="124">
        <v>527.57142857142856</v>
      </c>
      <c r="K59" s="124"/>
      <c r="L59" s="124">
        <v>464.71428571428572</v>
      </c>
      <c r="M59" s="124"/>
      <c r="N59" s="125"/>
      <c r="O59" s="124">
        <v>97.714285714285708</v>
      </c>
      <c r="P59" s="124"/>
      <c r="Q59" s="124"/>
      <c r="R59" s="125"/>
      <c r="S59" s="124">
        <v>1090</v>
      </c>
      <c r="T59" s="124"/>
      <c r="U59" s="124"/>
      <c r="V59" s="14"/>
      <c r="W59" s="9"/>
      <c r="X59" s="9"/>
      <c r="Y59" s="9"/>
      <c r="Z59" s="9"/>
      <c r="AA59" s="9">
        <v>0</v>
      </c>
      <c r="AB59" s="15"/>
      <c r="AC59" s="15"/>
      <c r="AD59" s="15"/>
      <c r="AE59" s="15">
        <v>0</v>
      </c>
    </row>
    <row r="60" spans="1:31" ht="17.649999999999999" customHeight="1" x14ac:dyDescent="0.3">
      <c r="A60" s="122" t="s">
        <v>53</v>
      </c>
      <c r="B60" s="125">
        <v>88</v>
      </c>
      <c r="C60" s="125">
        <v>79.292005000000003</v>
      </c>
      <c r="D60" s="125">
        <v>1092.5714285714287</v>
      </c>
      <c r="E60" s="125">
        <v>983</v>
      </c>
      <c r="F60" s="125">
        <v>3637.7142857142858</v>
      </c>
      <c r="G60" s="125">
        <v>3278</v>
      </c>
      <c r="H60" s="125">
        <v>4818.2857142857147</v>
      </c>
      <c r="I60" s="125">
        <v>4340.2920050000002</v>
      </c>
      <c r="J60" s="125">
        <v>4220.5714285714284</v>
      </c>
      <c r="K60" s="125">
        <v>3802</v>
      </c>
      <c r="L60" s="125">
        <v>3717.7142857142858</v>
      </c>
      <c r="M60" s="125">
        <v>3349.8298479999999</v>
      </c>
      <c r="N60" s="125">
        <v>0</v>
      </c>
      <c r="O60" s="125">
        <v>781.71428571428555</v>
      </c>
      <c r="P60" s="125">
        <v>0</v>
      </c>
      <c r="Q60" s="125">
        <v>704.36016400000005</v>
      </c>
      <c r="R60" s="125">
        <v>0</v>
      </c>
      <c r="S60" s="125">
        <v>8720</v>
      </c>
      <c r="T60" s="125">
        <v>0</v>
      </c>
      <c r="U60" s="125">
        <v>7856.190012</v>
      </c>
      <c r="V60" s="14"/>
      <c r="W60" s="9"/>
      <c r="X60" s="9"/>
      <c r="Y60" s="9"/>
      <c r="Z60" s="9"/>
      <c r="AA60" s="9"/>
      <c r="AB60" s="15"/>
      <c r="AC60" s="15"/>
      <c r="AD60" s="15"/>
      <c r="AE60" s="15"/>
    </row>
    <row r="61" spans="1:31" ht="24.9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8"/>
      <c r="P61" s="8"/>
      <c r="Q61" s="8"/>
      <c r="R61" s="9"/>
      <c r="S61" s="8"/>
      <c r="T61" s="8"/>
      <c r="U61" s="8"/>
      <c r="V61" s="14"/>
      <c r="W61" s="9"/>
      <c r="X61" s="9"/>
      <c r="Y61" s="9"/>
      <c r="Z61" s="9"/>
      <c r="AA61" s="9"/>
      <c r="AB61" s="15"/>
      <c r="AC61" s="15"/>
      <c r="AD61" s="15"/>
      <c r="AE61" s="15"/>
    </row>
    <row r="62" spans="1:31" ht="24.9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8"/>
      <c r="P62" s="8"/>
      <c r="Q62" s="8"/>
      <c r="R62" s="9"/>
      <c r="S62" s="8"/>
      <c r="T62" s="8"/>
      <c r="U62" s="8"/>
      <c r="V62" s="14"/>
      <c r="W62" s="9"/>
      <c r="X62" s="9"/>
      <c r="Y62" s="9"/>
      <c r="Z62" s="9"/>
      <c r="AA62" s="9"/>
      <c r="AB62" s="15"/>
      <c r="AC62" s="15"/>
      <c r="AD62" s="15"/>
      <c r="AE62" s="15"/>
    </row>
    <row r="63" spans="1:31" ht="24.9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  <c r="O63" s="8"/>
      <c r="P63" s="8"/>
      <c r="Q63" s="8"/>
      <c r="R63" s="9"/>
      <c r="S63" s="8"/>
      <c r="T63" s="8"/>
      <c r="U63" s="8"/>
      <c r="V63" s="14"/>
      <c r="W63" s="9"/>
      <c r="X63" s="9"/>
      <c r="Y63" s="9"/>
      <c r="Z63" s="9"/>
      <c r="AA63" s="9"/>
      <c r="AB63" s="15"/>
      <c r="AC63" s="15"/>
      <c r="AD63" s="15"/>
      <c r="AE63" s="15"/>
    </row>
    <row r="64" spans="1:31" ht="24.9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9"/>
      <c r="O64" s="8"/>
      <c r="P64" s="8"/>
      <c r="Q64" s="8"/>
      <c r="R64" s="9"/>
      <c r="S64" s="8"/>
      <c r="T64" s="8"/>
      <c r="U64" s="8"/>
      <c r="V64" s="14"/>
      <c r="W64" s="9"/>
      <c r="X64" s="9"/>
      <c r="Y64" s="9"/>
      <c r="Z64" s="9"/>
      <c r="AA64" s="9"/>
      <c r="AB64" s="15"/>
      <c r="AC64" s="15"/>
      <c r="AD64" s="15"/>
      <c r="AE64" s="15"/>
    </row>
    <row r="65" spans="1:31" ht="15" customHeight="1" x14ac:dyDescent="0.2">
      <c r="A65" s="17"/>
      <c r="B65" s="9"/>
      <c r="C65" s="9"/>
      <c r="D65" s="9"/>
      <c r="E65" s="9"/>
      <c r="F65" s="9"/>
      <c r="G65" s="9"/>
      <c r="H65" s="9"/>
      <c r="I65" s="9"/>
      <c r="J65" s="9"/>
      <c r="K65" s="9"/>
      <c r="L65" s="14"/>
      <c r="M65" s="14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5"/>
      <c r="AC65" s="15"/>
      <c r="AD65" s="15"/>
      <c r="AE65" s="15"/>
    </row>
    <row r="66" spans="1:31" x14ac:dyDescent="0.2">
      <c r="A66" s="17"/>
      <c r="B66" s="9"/>
      <c r="C66" s="9"/>
      <c r="D66" s="9"/>
      <c r="E66" s="9"/>
      <c r="F66" s="9"/>
      <c r="G66" s="9"/>
      <c r="H66" s="9"/>
      <c r="I66" s="9"/>
      <c r="J66" s="9"/>
      <c r="K66" s="9"/>
      <c r="L66" s="14"/>
      <c r="M66" s="14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5"/>
      <c r="AC66" s="15"/>
      <c r="AD66" s="15"/>
      <c r="AE66" s="15"/>
    </row>
    <row r="67" spans="1:31" x14ac:dyDescent="0.2">
      <c r="A67" s="17"/>
      <c r="B67" s="9"/>
      <c r="C67" s="9"/>
      <c r="D67" s="9"/>
      <c r="E67" s="9"/>
      <c r="F67" s="9"/>
      <c r="G67" s="9"/>
      <c r="H67" s="9"/>
      <c r="I67" s="9"/>
      <c r="J67" s="9"/>
      <c r="K67" s="9"/>
      <c r="L67" s="14"/>
      <c r="M67" s="14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5"/>
      <c r="AC67" s="15"/>
      <c r="AD67" s="15"/>
      <c r="AE67" s="15"/>
    </row>
    <row r="68" spans="1:31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31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31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31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31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31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31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31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31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</sheetData>
  <printOptions horizontalCentered="1"/>
  <pageMargins left="0" right="0" top="0" bottom="0" header="0.25" footer="0"/>
  <pageSetup scale="41" orientation="landscape" r:id="rId1"/>
  <headerFooter>
    <oddFooter>&amp;RSchedule A-13
Page &amp;P of &amp;N</oddFoot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DFA4-14F5-4F76-999E-8E861013FFA5}">
  <sheetPr transitionEvaluation="1" transitionEntry="1"/>
  <dimension ref="A1:FT468"/>
  <sheetViews>
    <sheetView showZeros="0" defaultGridColor="0" view="pageBreakPreview" colorId="22" zoomScaleNormal="70" zoomScaleSheetLayoutView="100" workbookViewId="0">
      <selection activeCell="O6" sqref="O6"/>
    </sheetView>
  </sheetViews>
  <sheetFormatPr defaultColWidth="9.77734375" defaultRowHeight="15" x14ac:dyDescent="0.2"/>
  <cols>
    <col min="1" max="1" width="20.109375" style="6" customWidth="1"/>
    <col min="2" max="2" width="9" style="11" bestFit="1" customWidth="1"/>
    <col min="3" max="3" width="9.6640625" style="11" bestFit="1" customWidth="1"/>
    <col min="4" max="4" width="8.77734375" style="11" bestFit="1" customWidth="1"/>
    <col min="5" max="5" width="10" style="11" customWidth="1"/>
    <col min="6" max="6" width="9.77734375" style="11" customWidth="1"/>
    <col min="7" max="7" width="10.109375" style="11" customWidth="1"/>
    <col min="8" max="8" width="10" style="11" customWidth="1"/>
    <col min="9" max="9" width="9.6640625" style="11" bestFit="1" customWidth="1"/>
    <col min="10" max="10" width="11.33203125" style="11" customWidth="1"/>
    <col min="11" max="11" width="12.6640625" style="11" bestFit="1" customWidth="1"/>
    <col min="12" max="12" width="13" style="11" customWidth="1"/>
    <col min="13" max="13" width="12.21875" style="11" customWidth="1"/>
    <col min="14" max="14" width="11.5546875" style="11" customWidth="1"/>
    <col min="15" max="15" width="12.88671875" style="11" customWidth="1"/>
    <col min="16" max="16" width="3.21875" style="11" customWidth="1"/>
    <col min="17" max="16384" width="9.77734375" style="11"/>
  </cols>
  <sheetData>
    <row r="1" spans="1:176" s="1" customFormat="1" ht="40.5" x14ac:dyDescent="0.35">
      <c r="A1" s="226" t="str">
        <f>[2]INFORMATION!A1</f>
        <v>M&amp;I 2023 Sch A-13 F.Z25.XLSM</v>
      </c>
      <c r="B1" s="227"/>
      <c r="C1" s="227"/>
      <c r="D1" s="227"/>
      <c r="E1" s="227"/>
      <c r="F1" s="227"/>
      <c r="G1" s="227"/>
      <c r="H1" s="227"/>
      <c r="I1" s="227"/>
      <c r="J1" s="116"/>
      <c r="K1" s="117"/>
      <c r="L1" s="117"/>
      <c r="M1" s="117"/>
      <c r="N1" s="117"/>
      <c r="O1" s="117"/>
      <c r="P1" s="2"/>
    </row>
    <row r="2" spans="1:176" s="1" customFormat="1" ht="20.25" x14ac:dyDescent="0.35">
      <c r="A2" s="228" t="str">
        <f>[2]INFORMATION!A2</f>
        <v>09/13/2022</v>
      </c>
      <c r="B2" s="153"/>
      <c r="C2" s="153"/>
      <c r="D2" s="153"/>
      <c r="E2" s="153"/>
      <c r="F2" s="153"/>
      <c r="G2" s="153"/>
      <c r="H2" s="153"/>
      <c r="I2" s="153"/>
      <c r="J2" s="116"/>
      <c r="K2" s="117"/>
      <c r="L2" s="117"/>
      <c r="M2" s="117"/>
      <c r="N2" s="117"/>
      <c r="O2" s="117"/>
      <c r="P2" s="2"/>
    </row>
    <row r="3" spans="1:176" s="1" customFormat="1" ht="40.5" x14ac:dyDescent="0.35">
      <c r="A3" s="229" t="str">
        <f>PAGE_1!A3</f>
        <v>CENTRAL VALLEY PROJECT</v>
      </c>
      <c r="B3" s="11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2"/>
    </row>
    <row r="4" spans="1:176" s="1" customFormat="1" ht="101.25" x14ac:dyDescent="0.35">
      <c r="A4" s="229" t="str">
        <f>PAGE_1!A4</f>
        <v>SCHEDULE OF HISTORICAL (1981-2021) &amp; PROJECTED (2022-2030) M&amp;I WATER DELIVERIES</v>
      </c>
      <c r="B4" s="11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2"/>
    </row>
    <row r="5" spans="1:176" s="1" customFormat="1" ht="162" x14ac:dyDescent="0.35">
      <c r="A5" s="229" t="str">
        <f>PAGE_1!A5</f>
        <v xml:space="preserve">AND PRESENT WORTH @ .023755 FOR CALCULATION OF INDIVIDUAL CONTRACTOR PRORATED CONSTRUCTION COSTS AND RATE   </v>
      </c>
      <c r="B5" s="11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"/>
    </row>
    <row r="6" spans="1:176" s="62" customFormat="1" ht="138" x14ac:dyDescent="0.3">
      <c r="A6" s="167" t="s">
        <v>0</v>
      </c>
      <c r="B6" s="233" t="s">
        <v>141</v>
      </c>
      <c r="C6" s="234" t="s">
        <v>142</v>
      </c>
      <c r="D6" s="207" t="s">
        <v>143</v>
      </c>
      <c r="E6" s="234" t="s">
        <v>144</v>
      </c>
      <c r="F6" s="207" t="s">
        <v>145</v>
      </c>
      <c r="G6" s="207" t="s">
        <v>146</v>
      </c>
      <c r="H6" s="207" t="s">
        <v>295</v>
      </c>
      <c r="I6" s="208" t="s">
        <v>296</v>
      </c>
      <c r="J6" s="233" t="s">
        <v>147</v>
      </c>
      <c r="K6" s="207" t="s">
        <v>148</v>
      </c>
      <c r="L6" s="207" t="s">
        <v>149</v>
      </c>
      <c r="M6" s="207" t="s">
        <v>150</v>
      </c>
      <c r="N6" s="207" t="s">
        <v>297</v>
      </c>
      <c r="O6" s="208" t="s">
        <v>298</v>
      </c>
      <c r="P6" s="61"/>
    </row>
    <row r="7" spans="1:176" ht="17.649999999999999" customHeight="1" x14ac:dyDescent="0.35">
      <c r="A7" s="230" t="s">
        <v>4</v>
      </c>
      <c r="B7" s="174">
        <v>0</v>
      </c>
      <c r="C7" s="186"/>
      <c r="D7" s="124">
        <f>67</f>
        <v>67</v>
      </c>
      <c r="E7" s="174"/>
      <c r="F7" s="124">
        <v>482</v>
      </c>
      <c r="G7" s="174"/>
      <c r="H7" s="124">
        <f t="shared" ref="H7:H35" si="0">D7+F7+B7</f>
        <v>549</v>
      </c>
      <c r="I7" s="174"/>
      <c r="J7" s="174">
        <v>0</v>
      </c>
      <c r="K7" s="174"/>
      <c r="L7" s="174">
        <v>0</v>
      </c>
      <c r="M7" s="174"/>
      <c r="N7" s="174">
        <f t="shared" ref="N7:N35" si="1">+J7+L7</f>
        <v>0</v>
      </c>
      <c r="O7" s="174"/>
      <c r="P7" s="2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</row>
    <row r="8" spans="1:176" ht="17.649999999999999" customHeight="1" x14ac:dyDescent="0.35">
      <c r="A8" s="230" t="s">
        <v>5</v>
      </c>
      <c r="B8" s="174">
        <v>0</v>
      </c>
      <c r="C8" s="186"/>
      <c r="D8" s="124">
        <f>54</f>
        <v>54</v>
      </c>
      <c r="E8" s="174"/>
      <c r="F8" s="124">
        <v>439</v>
      </c>
      <c r="G8" s="174"/>
      <c r="H8" s="124">
        <f t="shared" si="0"/>
        <v>493</v>
      </c>
      <c r="I8" s="174"/>
      <c r="J8" s="174">
        <v>0</v>
      </c>
      <c r="K8" s="174"/>
      <c r="L8" s="174">
        <v>0</v>
      </c>
      <c r="M8" s="174"/>
      <c r="N8" s="174">
        <f t="shared" si="1"/>
        <v>0</v>
      </c>
      <c r="O8" s="174"/>
      <c r="P8" s="2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</row>
    <row r="9" spans="1:176" ht="17.649999999999999" customHeight="1" x14ac:dyDescent="0.35">
      <c r="A9" s="230" t="s">
        <v>6</v>
      </c>
      <c r="B9" s="174">
        <v>0</v>
      </c>
      <c r="C9" s="186"/>
      <c r="D9" s="124">
        <f>59</f>
        <v>59</v>
      </c>
      <c r="E9" s="174"/>
      <c r="F9" s="124">
        <v>479</v>
      </c>
      <c r="G9" s="174"/>
      <c r="H9" s="124">
        <f t="shared" si="0"/>
        <v>538</v>
      </c>
      <c r="I9" s="174"/>
      <c r="J9" s="174">
        <v>0</v>
      </c>
      <c r="K9" s="174"/>
      <c r="L9" s="174">
        <v>0</v>
      </c>
      <c r="M9" s="174"/>
      <c r="N9" s="174">
        <f t="shared" si="1"/>
        <v>0</v>
      </c>
      <c r="O9" s="174"/>
      <c r="P9" s="2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</row>
    <row r="10" spans="1:176" ht="17.649999999999999" customHeight="1" x14ac:dyDescent="0.35">
      <c r="A10" s="230" t="s">
        <v>7</v>
      </c>
      <c r="B10" s="174">
        <v>0</v>
      </c>
      <c r="C10" s="186"/>
      <c r="D10" s="124">
        <f>72</f>
        <v>72</v>
      </c>
      <c r="E10" s="174"/>
      <c r="F10" s="124">
        <v>546</v>
      </c>
      <c r="G10" s="174"/>
      <c r="H10" s="124">
        <f t="shared" si="0"/>
        <v>618</v>
      </c>
      <c r="I10" s="174"/>
      <c r="J10" s="174">
        <v>0</v>
      </c>
      <c r="K10" s="174"/>
      <c r="L10" s="174">
        <v>0</v>
      </c>
      <c r="M10" s="174"/>
      <c r="N10" s="174">
        <f t="shared" si="1"/>
        <v>0</v>
      </c>
      <c r="O10" s="174"/>
      <c r="P10" s="2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</row>
    <row r="11" spans="1:176" ht="17.649999999999999" customHeight="1" x14ac:dyDescent="0.35">
      <c r="A11" s="230" t="s">
        <v>8</v>
      </c>
      <c r="B11" s="174">
        <v>0</v>
      </c>
      <c r="C11" s="186"/>
      <c r="D11" s="124">
        <f>88</f>
        <v>88</v>
      </c>
      <c r="E11" s="174"/>
      <c r="F11" s="124">
        <v>557</v>
      </c>
      <c r="G11" s="174"/>
      <c r="H11" s="124">
        <f t="shared" si="0"/>
        <v>645</v>
      </c>
      <c r="I11" s="174"/>
      <c r="J11" s="174">
        <v>0</v>
      </c>
      <c r="K11" s="174"/>
      <c r="L11" s="174">
        <v>0</v>
      </c>
      <c r="M11" s="174"/>
      <c r="N11" s="174">
        <f t="shared" si="1"/>
        <v>0</v>
      </c>
      <c r="O11" s="174"/>
      <c r="P11" s="2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</row>
    <row r="12" spans="1:176" ht="17.649999999999999" customHeight="1" x14ac:dyDescent="0.35">
      <c r="A12" s="230" t="s">
        <v>9</v>
      </c>
      <c r="B12" s="174">
        <v>0</v>
      </c>
      <c r="C12" s="186"/>
      <c r="D12" s="124">
        <f>131</f>
        <v>131</v>
      </c>
      <c r="E12" s="174"/>
      <c r="F12" s="124">
        <v>601</v>
      </c>
      <c r="G12" s="174"/>
      <c r="H12" s="124">
        <f t="shared" si="0"/>
        <v>732</v>
      </c>
      <c r="I12" s="174"/>
      <c r="J12" s="174">
        <v>0</v>
      </c>
      <c r="K12" s="174"/>
      <c r="L12" s="174">
        <v>0</v>
      </c>
      <c r="M12" s="174"/>
      <c r="N12" s="174">
        <f t="shared" si="1"/>
        <v>0</v>
      </c>
      <c r="O12" s="174"/>
      <c r="P12" s="2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</row>
    <row r="13" spans="1:176" ht="17.649999999999999" customHeight="1" x14ac:dyDescent="0.35">
      <c r="A13" s="230" t="s">
        <v>10</v>
      </c>
      <c r="B13" s="174">
        <v>0</v>
      </c>
      <c r="C13" s="186"/>
      <c r="D13" s="124">
        <f>151</f>
        <v>151</v>
      </c>
      <c r="E13" s="174"/>
      <c r="F13" s="124">
        <v>665</v>
      </c>
      <c r="G13" s="174"/>
      <c r="H13" s="124">
        <f t="shared" si="0"/>
        <v>816</v>
      </c>
      <c r="I13" s="174"/>
      <c r="J13" s="174">
        <v>0</v>
      </c>
      <c r="K13" s="174"/>
      <c r="L13" s="174">
        <v>0</v>
      </c>
      <c r="M13" s="174"/>
      <c r="N13" s="174">
        <f t="shared" si="1"/>
        <v>0</v>
      </c>
      <c r="O13" s="174"/>
      <c r="P13" s="2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</row>
    <row r="14" spans="1:176" ht="17.649999999999999" customHeight="1" x14ac:dyDescent="0.35">
      <c r="A14" s="230" t="s">
        <v>11</v>
      </c>
      <c r="B14" s="174">
        <v>0</v>
      </c>
      <c r="C14" s="186"/>
      <c r="D14" s="124">
        <f>133</f>
        <v>133</v>
      </c>
      <c r="E14" s="174"/>
      <c r="F14" s="124">
        <v>659</v>
      </c>
      <c r="G14" s="174"/>
      <c r="H14" s="124">
        <f t="shared" si="0"/>
        <v>792</v>
      </c>
      <c r="I14" s="174"/>
      <c r="J14" s="174">
        <v>0</v>
      </c>
      <c r="K14" s="174"/>
      <c r="L14" s="174">
        <v>0</v>
      </c>
      <c r="M14" s="174"/>
      <c r="N14" s="174">
        <f t="shared" si="1"/>
        <v>0</v>
      </c>
      <c r="O14" s="174"/>
      <c r="P14" s="2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</row>
    <row r="15" spans="1:176" ht="17.649999999999999" customHeight="1" x14ac:dyDescent="0.35">
      <c r="A15" s="230" t="s">
        <v>12</v>
      </c>
      <c r="B15" s="174">
        <v>0</v>
      </c>
      <c r="C15" s="186"/>
      <c r="D15" s="124">
        <f>110</f>
        <v>110</v>
      </c>
      <c r="E15" s="174"/>
      <c r="F15" s="124">
        <v>551</v>
      </c>
      <c r="G15" s="174"/>
      <c r="H15" s="124">
        <f t="shared" si="0"/>
        <v>661</v>
      </c>
      <c r="I15" s="174"/>
      <c r="J15" s="174">
        <v>0</v>
      </c>
      <c r="K15" s="174"/>
      <c r="L15" s="174">
        <v>0</v>
      </c>
      <c r="M15" s="174"/>
      <c r="N15" s="174">
        <f t="shared" si="1"/>
        <v>0</v>
      </c>
      <c r="O15" s="174"/>
      <c r="P15" s="2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</row>
    <row r="16" spans="1:176" ht="17.649999999999999" customHeight="1" x14ac:dyDescent="0.35">
      <c r="A16" s="230" t="s">
        <v>13</v>
      </c>
      <c r="B16" s="174">
        <v>0</v>
      </c>
      <c r="C16" s="186"/>
      <c r="D16" s="124">
        <f>111</f>
        <v>111</v>
      </c>
      <c r="E16" s="174"/>
      <c r="F16" s="124">
        <v>527</v>
      </c>
      <c r="G16" s="174"/>
      <c r="H16" s="124">
        <f t="shared" si="0"/>
        <v>638</v>
      </c>
      <c r="I16" s="174"/>
      <c r="J16" s="174">
        <v>0</v>
      </c>
      <c r="K16" s="174"/>
      <c r="L16" s="174">
        <v>0</v>
      </c>
      <c r="M16" s="174"/>
      <c r="N16" s="174">
        <f t="shared" si="1"/>
        <v>0</v>
      </c>
      <c r="O16" s="174"/>
      <c r="P16" s="2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</row>
    <row r="17" spans="1:176" ht="17.649999999999999" customHeight="1" x14ac:dyDescent="0.35">
      <c r="A17" s="230" t="s">
        <v>14</v>
      </c>
      <c r="B17" s="174">
        <v>0</v>
      </c>
      <c r="C17" s="186"/>
      <c r="D17" s="174">
        <v>0</v>
      </c>
      <c r="E17" s="174"/>
      <c r="F17" s="124">
        <v>337</v>
      </c>
      <c r="G17" s="174"/>
      <c r="H17" s="124">
        <f t="shared" si="0"/>
        <v>337</v>
      </c>
      <c r="I17" s="174"/>
      <c r="J17" s="174">
        <v>0</v>
      </c>
      <c r="K17" s="174"/>
      <c r="L17" s="174">
        <v>0</v>
      </c>
      <c r="M17" s="174"/>
      <c r="N17" s="174">
        <f t="shared" si="1"/>
        <v>0</v>
      </c>
      <c r="O17" s="174"/>
      <c r="P17" s="2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</row>
    <row r="18" spans="1:176" ht="17.649999999999999" customHeight="1" x14ac:dyDescent="0.35">
      <c r="A18" s="230" t="s">
        <v>15</v>
      </c>
      <c r="B18" s="174">
        <v>0</v>
      </c>
      <c r="C18" s="186"/>
      <c r="D18" s="124">
        <f>136</f>
        <v>136</v>
      </c>
      <c r="E18" s="174"/>
      <c r="F18" s="124">
        <v>641</v>
      </c>
      <c r="G18" s="174"/>
      <c r="H18" s="124">
        <f t="shared" si="0"/>
        <v>777</v>
      </c>
      <c r="I18" s="174"/>
      <c r="J18" s="174">
        <v>0</v>
      </c>
      <c r="K18" s="174"/>
      <c r="L18" s="174">
        <v>0</v>
      </c>
      <c r="M18" s="174"/>
      <c r="N18" s="174">
        <f t="shared" si="1"/>
        <v>0</v>
      </c>
      <c r="O18" s="174"/>
      <c r="P18" s="2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</row>
    <row r="19" spans="1:176" ht="17.649999999999999" customHeight="1" x14ac:dyDescent="0.35">
      <c r="A19" s="230" t="s">
        <v>16</v>
      </c>
      <c r="B19" s="174">
        <v>0</v>
      </c>
      <c r="C19" s="186"/>
      <c r="D19" s="124">
        <f>137</f>
        <v>137</v>
      </c>
      <c r="E19" s="174"/>
      <c r="F19" s="124">
        <v>748</v>
      </c>
      <c r="G19" s="174"/>
      <c r="H19" s="124">
        <f t="shared" si="0"/>
        <v>885</v>
      </c>
      <c r="I19" s="174"/>
      <c r="J19" s="174">
        <v>0</v>
      </c>
      <c r="K19" s="174"/>
      <c r="L19" s="174">
        <v>0</v>
      </c>
      <c r="M19" s="174"/>
      <c r="N19" s="174">
        <f t="shared" si="1"/>
        <v>0</v>
      </c>
      <c r="O19" s="174"/>
      <c r="P19" s="2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</row>
    <row r="20" spans="1:176" ht="17.649999999999999" customHeight="1" x14ac:dyDescent="0.35">
      <c r="A20" s="230" t="s">
        <v>17</v>
      </c>
      <c r="B20" s="174">
        <v>0</v>
      </c>
      <c r="C20" s="186"/>
      <c r="D20" s="124">
        <f>160</f>
        <v>160</v>
      </c>
      <c r="E20" s="174"/>
      <c r="F20" s="124">
        <v>528</v>
      </c>
      <c r="G20" s="174"/>
      <c r="H20" s="124">
        <f t="shared" si="0"/>
        <v>688</v>
      </c>
      <c r="I20" s="174"/>
      <c r="J20" s="174">
        <v>0</v>
      </c>
      <c r="K20" s="174"/>
      <c r="L20" s="174">
        <v>0</v>
      </c>
      <c r="M20" s="174"/>
      <c r="N20" s="174">
        <f t="shared" si="1"/>
        <v>0</v>
      </c>
      <c r="O20" s="174"/>
      <c r="P20" s="2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</row>
    <row r="21" spans="1:176" ht="17.649999999999999" customHeight="1" x14ac:dyDescent="0.35">
      <c r="A21" s="230" t="s">
        <v>18</v>
      </c>
      <c r="B21" s="124">
        <v>2292</v>
      </c>
      <c r="C21" s="186"/>
      <c r="D21" s="124">
        <f>170</f>
        <v>170</v>
      </c>
      <c r="E21" s="174"/>
      <c r="F21" s="124">
        <v>530</v>
      </c>
      <c r="G21" s="174"/>
      <c r="H21" s="124">
        <f t="shared" si="0"/>
        <v>2992</v>
      </c>
      <c r="I21" s="174"/>
      <c r="J21" s="174">
        <v>0</v>
      </c>
      <c r="K21" s="174"/>
      <c r="L21" s="174">
        <v>0</v>
      </c>
      <c r="M21" s="174"/>
      <c r="N21" s="174">
        <f t="shared" si="1"/>
        <v>0</v>
      </c>
      <c r="O21" s="174"/>
      <c r="P21" s="2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</row>
    <row r="22" spans="1:176" ht="17.649999999999999" customHeight="1" x14ac:dyDescent="0.35">
      <c r="A22" s="230" t="s">
        <v>19</v>
      </c>
      <c r="B22" s="124">
        <v>3367</v>
      </c>
      <c r="C22" s="186"/>
      <c r="D22" s="124">
        <f>191</f>
        <v>191</v>
      </c>
      <c r="E22" s="174"/>
      <c r="F22" s="124">
        <v>607</v>
      </c>
      <c r="G22" s="174"/>
      <c r="H22" s="124">
        <f t="shared" si="0"/>
        <v>4165</v>
      </c>
      <c r="I22" s="174"/>
      <c r="J22" s="124">
        <v>46</v>
      </c>
      <c r="K22" s="174"/>
      <c r="L22" s="174">
        <v>0</v>
      </c>
      <c r="M22" s="174"/>
      <c r="N22" s="124">
        <f t="shared" si="1"/>
        <v>46</v>
      </c>
      <c r="O22" s="174"/>
      <c r="P22" s="2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</row>
    <row r="23" spans="1:176" ht="17.649999999999999" customHeight="1" x14ac:dyDescent="0.35">
      <c r="A23" s="230" t="s">
        <v>20</v>
      </c>
      <c r="B23" s="124">
        <v>3371</v>
      </c>
      <c r="C23" s="186"/>
      <c r="D23" s="124">
        <f>173</f>
        <v>173</v>
      </c>
      <c r="E23" s="174"/>
      <c r="F23" s="124">
        <v>805</v>
      </c>
      <c r="G23" s="174"/>
      <c r="H23" s="124">
        <f t="shared" si="0"/>
        <v>4349</v>
      </c>
      <c r="I23" s="174"/>
      <c r="J23" s="124">
        <v>162</v>
      </c>
      <c r="K23" s="174"/>
      <c r="L23" s="174">
        <v>0</v>
      </c>
      <c r="M23" s="174"/>
      <c r="N23" s="124">
        <f t="shared" si="1"/>
        <v>162</v>
      </c>
      <c r="O23" s="174"/>
      <c r="P23" s="2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</row>
    <row r="24" spans="1:176" ht="17.649999999999999" customHeight="1" x14ac:dyDescent="0.35">
      <c r="A24" s="230" t="s">
        <v>21</v>
      </c>
      <c r="B24" s="124">
        <v>3283</v>
      </c>
      <c r="C24" s="186"/>
      <c r="D24" s="124">
        <f>140</f>
        <v>140</v>
      </c>
      <c r="E24" s="174"/>
      <c r="F24" s="124">
        <v>585</v>
      </c>
      <c r="G24" s="174"/>
      <c r="H24" s="124">
        <f t="shared" si="0"/>
        <v>4008</v>
      </c>
      <c r="I24" s="174"/>
      <c r="J24" s="124">
        <v>129</v>
      </c>
      <c r="K24" s="174"/>
      <c r="L24" s="174">
        <v>0</v>
      </c>
      <c r="M24" s="174"/>
      <c r="N24" s="124">
        <f t="shared" si="1"/>
        <v>129</v>
      </c>
      <c r="O24" s="174"/>
      <c r="P24" s="2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</row>
    <row r="25" spans="1:176" ht="17.649999999999999" customHeight="1" x14ac:dyDescent="0.35">
      <c r="A25" s="230" t="s">
        <v>22</v>
      </c>
      <c r="B25" s="124">
        <v>3835</v>
      </c>
      <c r="C25" s="186" t="s">
        <v>23</v>
      </c>
      <c r="D25" s="124">
        <f>166</f>
        <v>166</v>
      </c>
      <c r="E25" s="174"/>
      <c r="F25" s="124">
        <v>718</v>
      </c>
      <c r="G25" s="174"/>
      <c r="H25" s="124">
        <f t="shared" si="0"/>
        <v>4719</v>
      </c>
      <c r="I25" s="174" t="s">
        <v>23</v>
      </c>
      <c r="J25" s="124">
        <v>17</v>
      </c>
      <c r="K25" s="174"/>
      <c r="L25" s="174">
        <v>0</v>
      </c>
      <c r="M25" s="174"/>
      <c r="N25" s="124">
        <f t="shared" si="1"/>
        <v>17</v>
      </c>
      <c r="O25" s="174"/>
      <c r="P25" s="22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</row>
    <row r="26" spans="1:176" ht="17.649999999999999" customHeight="1" x14ac:dyDescent="0.35">
      <c r="A26" s="230" t="s">
        <v>24</v>
      </c>
      <c r="B26" s="124">
        <v>4011</v>
      </c>
      <c r="C26" s="186"/>
      <c r="D26" s="124">
        <f>213</f>
        <v>213</v>
      </c>
      <c r="E26" s="174"/>
      <c r="F26" s="124">
        <v>783</v>
      </c>
      <c r="G26" s="174"/>
      <c r="H26" s="124">
        <f t="shared" si="0"/>
        <v>5007</v>
      </c>
      <c r="I26" s="174"/>
      <c r="J26" s="124">
        <v>170</v>
      </c>
      <c r="K26" s="186"/>
      <c r="L26" s="174">
        <v>0</v>
      </c>
      <c r="M26" s="186"/>
      <c r="N26" s="124">
        <f t="shared" si="1"/>
        <v>170</v>
      </c>
      <c r="O26" s="186"/>
      <c r="P26" s="21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</row>
    <row r="27" spans="1:176" ht="17.649999999999999" customHeight="1" x14ac:dyDescent="0.35">
      <c r="A27" s="230" t="s">
        <v>25</v>
      </c>
      <c r="B27" s="124">
        <v>4101</v>
      </c>
      <c r="C27" s="186"/>
      <c r="D27" s="124">
        <f>180</f>
        <v>180</v>
      </c>
      <c r="E27" s="174"/>
      <c r="F27" s="124">
        <v>562</v>
      </c>
      <c r="G27" s="174"/>
      <c r="H27" s="124">
        <f t="shared" si="0"/>
        <v>4843</v>
      </c>
      <c r="I27" s="174"/>
      <c r="J27" s="124">
        <v>214</v>
      </c>
      <c r="K27" s="174"/>
      <c r="L27" s="174">
        <v>0</v>
      </c>
      <c r="M27" s="174"/>
      <c r="N27" s="124">
        <f t="shared" si="1"/>
        <v>214</v>
      </c>
      <c r="O27" s="174"/>
      <c r="P27" s="2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</row>
    <row r="28" spans="1:176" ht="17.649999999999999" customHeight="1" x14ac:dyDescent="0.35">
      <c r="A28" s="230" t="s">
        <v>101</v>
      </c>
      <c r="B28" s="124">
        <v>5936</v>
      </c>
      <c r="C28" s="186"/>
      <c r="D28" s="124">
        <f>182</f>
        <v>182</v>
      </c>
      <c r="E28" s="174"/>
      <c r="F28" s="124">
        <v>718</v>
      </c>
      <c r="G28" s="174"/>
      <c r="H28" s="124">
        <f t="shared" si="0"/>
        <v>6836</v>
      </c>
      <c r="I28" s="174"/>
      <c r="J28" s="124">
        <v>221</v>
      </c>
      <c r="K28" s="174"/>
      <c r="L28" s="174">
        <v>0</v>
      </c>
      <c r="M28" s="174"/>
      <c r="N28" s="124">
        <f t="shared" si="1"/>
        <v>221</v>
      </c>
      <c r="O28" s="174"/>
      <c r="P28" s="2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</row>
    <row r="29" spans="1:176" ht="17.649999999999999" customHeight="1" x14ac:dyDescent="0.35">
      <c r="A29" s="230" t="s">
        <v>26</v>
      </c>
      <c r="B29" s="124">
        <v>3890</v>
      </c>
      <c r="C29" s="186"/>
      <c r="D29" s="124">
        <f>190</f>
        <v>190</v>
      </c>
      <c r="E29" s="174"/>
      <c r="F29" s="124">
        <v>622</v>
      </c>
      <c r="G29" s="174"/>
      <c r="H29" s="124">
        <f t="shared" si="0"/>
        <v>4702</v>
      </c>
      <c r="I29" s="174"/>
      <c r="J29" s="124">
        <v>113</v>
      </c>
      <c r="K29" s="174"/>
      <c r="L29" s="174">
        <v>0</v>
      </c>
      <c r="M29" s="174"/>
      <c r="N29" s="124">
        <f t="shared" si="1"/>
        <v>113</v>
      </c>
      <c r="O29" s="174"/>
      <c r="P29" s="2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</row>
    <row r="30" spans="1:176" ht="17.649999999999999" customHeight="1" x14ac:dyDescent="0.35">
      <c r="A30" s="230" t="s">
        <v>27</v>
      </c>
      <c r="B30" s="124">
        <v>4763</v>
      </c>
      <c r="C30" s="186"/>
      <c r="D30" s="124">
        <v>208</v>
      </c>
      <c r="E30" s="174"/>
      <c r="F30" s="124">
        <v>650</v>
      </c>
      <c r="G30" s="174"/>
      <c r="H30" s="124">
        <f t="shared" si="0"/>
        <v>5621</v>
      </c>
      <c r="I30" s="174"/>
      <c r="J30" s="124">
        <v>155</v>
      </c>
      <c r="K30" s="174"/>
      <c r="L30" s="174">
        <v>0</v>
      </c>
      <c r="M30" s="174"/>
      <c r="N30" s="124">
        <f t="shared" si="1"/>
        <v>155</v>
      </c>
      <c r="O30" s="174"/>
      <c r="P30" s="2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</row>
    <row r="31" spans="1:176" ht="17.649999999999999" customHeight="1" x14ac:dyDescent="0.35">
      <c r="A31" s="230" t="s">
        <v>102</v>
      </c>
      <c r="B31" s="124">
        <v>3490</v>
      </c>
      <c r="C31" s="186"/>
      <c r="D31" s="124">
        <v>168</v>
      </c>
      <c r="E31" s="174"/>
      <c r="F31" s="124">
        <v>573</v>
      </c>
      <c r="G31" s="174"/>
      <c r="H31" s="124">
        <f t="shared" si="0"/>
        <v>4231</v>
      </c>
      <c r="I31" s="174"/>
      <c r="J31" s="124">
        <v>185</v>
      </c>
      <c r="K31" s="174"/>
      <c r="L31" s="174">
        <v>0</v>
      </c>
      <c r="M31" s="174"/>
      <c r="N31" s="124">
        <f t="shared" si="1"/>
        <v>185</v>
      </c>
      <c r="O31" s="174"/>
      <c r="P31" s="2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</row>
    <row r="32" spans="1:176" ht="17.649999999999999" customHeight="1" x14ac:dyDescent="0.45">
      <c r="A32" s="230" t="s">
        <v>103</v>
      </c>
      <c r="B32" s="125">
        <v>4553</v>
      </c>
      <c r="C32" s="231"/>
      <c r="D32" s="125">
        <v>173</v>
      </c>
      <c r="E32" s="232"/>
      <c r="F32" s="125">
        <v>837</v>
      </c>
      <c r="G32" s="174"/>
      <c r="H32" s="124">
        <f t="shared" si="0"/>
        <v>5563</v>
      </c>
      <c r="I32" s="174"/>
      <c r="J32" s="125">
        <v>243</v>
      </c>
      <c r="K32" s="174"/>
      <c r="L32" s="125">
        <v>4</v>
      </c>
      <c r="M32" s="174"/>
      <c r="N32" s="124">
        <f t="shared" si="1"/>
        <v>247</v>
      </c>
      <c r="O32" s="174"/>
      <c r="P32" s="2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</row>
    <row r="33" spans="1:176" ht="17.649999999999999" customHeight="1" x14ac:dyDescent="0.35">
      <c r="A33" s="230" t="s">
        <v>104</v>
      </c>
      <c r="B33" s="125">
        <v>4021</v>
      </c>
      <c r="C33" s="186"/>
      <c r="D33" s="125">
        <v>169</v>
      </c>
      <c r="E33" s="174"/>
      <c r="F33" s="125">
        <v>846</v>
      </c>
      <c r="G33" s="174"/>
      <c r="H33" s="124">
        <f t="shared" si="0"/>
        <v>5036</v>
      </c>
      <c r="I33" s="174"/>
      <c r="J33" s="125">
        <v>251</v>
      </c>
      <c r="K33" s="174"/>
      <c r="L33" s="125">
        <v>6</v>
      </c>
      <c r="M33" s="174"/>
      <c r="N33" s="124">
        <f t="shared" si="1"/>
        <v>257</v>
      </c>
      <c r="O33" s="174"/>
      <c r="P33" s="2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</row>
    <row r="34" spans="1:176" ht="17.649999999999999" customHeight="1" x14ac:dyDescent="0.35">
      <c r="A34" s="230" t="s">
        <v>28</v>
      </c>
      <c r="B34" s="125">
        <v>2200</v>
      </c>
      <c r="C34" s="186"/>
      <c r="D34" s="125">
        <v>103</v>
      </c>
      <c r="E34" s="174"/>
      <c r="F34" s="125">
        <v>487</v>
      </c>
      <c r="G34" s="174"/>
      <c r="H34" s="124">
        <f t="shared" si="0"/>
        <v>2790</v>
      </c>
      <c r="I34" s="174"/>
      <c r="J34" s="125">
        <v>210</v>
      </c>
      <c r="K34" s="174"/>
      <c r="L34" s="125">
        <v>4</v>
      </c>
      <c r="M34" s="174"/>
      <c r="N34" s="124">
        <f t="shared" si="1"/>
        <v>214</v>
      </c>
      <c r="O34" s="174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</row>
    <row r="35" spans="1:176" ht="17.649999999999999" customHeight="1" x14ac:dyDescent="0.35">
      <c r="A35" s="230" t="s">
        <v>29</v>
      </c>
      <c r="B35" s="125">
        <v>3565</v>
      </c>
      <c r="C35" s="186"/>
      <c r="D35" s="125">
        <v>110</v>
      </c>
      <c r="E35" s="174"/>
      <c r="F35" s="125">
        <v>556</v>
      </c>
      <c r="G35" s="174"/>
      <c r="H35" s="124">
        <f t="shared" si="0"/>
        <v>4231</v>
      </c>
      <c r="I35" s="174"/>
      <c r="J35" s="125">
        <v>151</v>
      </c>
      <c r="K35" s="174"/>
      <c r="L35" s="125">
        <v>3</v>
      </c>
      <c r="M35" s="174"/>
      <c r="N35" s="124">
        <f t="shared" si="1"/>
        <v>154</v>
      </c>
      <c r="O35" s="174"/>
      <c r="P35" s="22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</row>
    <row r="36" spans="1:176" ht="17.649999999999999" customHeight="1" x14ac:dyDescent="0.35">
      <c r="A36" s="230" t="s">
        <v>30</v>
      </c>
      <c r="B36" s="125">
        <v>5507</v>
      </c>
      <c r="C36" s="186"/>
      <c r="D36" s="125">
        <v>155</v>
      </c>
      <c r="E36" s="174"/>
      <c r="F36" s="125">
        <v>639</v>
      </c>
      <c r="G36" s="174"/>
      <c r="H36" s="124">
        <v>6301</v>
      </c>
      <c r="I36" s="174"/>
      <c r="J36" s="125">
        <v>153</v>
      </c>
      <c r="K36" s="174"/>
      <c r="L36" s="125">
        <v>6</v>
      </c>
      <c r="M36" s="174"/>
      <c r="N36" s="124">
        <v>159</v>
      </c>
      <c r="O36" s="174"/>
      <c r="P36" s="22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</row>
    <row r="37" spans="1:176" ht="17.649999999999999" customHeight="1" x14ac:dyDescent="0.35">
      <c r="A37" s="230" t="s">
        <v>31</v>
      </c>
      <c r="B37" s="125">
        <v>5021</v>
      </c>
      <c r="C37" s="186"/>
      <c r="D37" s="125">
        <v>148</v>
      </c>
      <c r="E37" s="174"/>
      <c r="F37" s="125">
        <v>614</v>
      </c>
      <c r="G37" s="174"/>
      <c r="H37" s="124">
        <v>5783</v>
      </c>
      <c r="I37" s="174"/>
      <c r="J37" s="125">
        <v>147</v>
      </c>
      <c r="K37" s="174"/>
      <c r="L37" s="125">
        <v>2</v>
      </c>
      <c r="M37" s="174"/>
      <c r="N37" s="124">
        <v>149</v>
      </c>
      <c r="O37" s="174"/>
      <c r="P37" s="22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</row>
    <row r="38" spans="1:176" ht="17.649999999999999" customHeight="1" x14ac:dyDescent="0.35">
      <c r="A38" s="230" t="s">
        <v>32</v>
      </c>
      <c r="B38" s="125">
        <v>7112</v>
      </c>
      <c r="C38" s="186"/>
      <c r="D38" s="125">
        <v>183</v>
      </c>
      <c r="E38" s="174"/>
      <c r="F38" s="125">
        <v>615</v>
      </c>
      <c r="G38" s="174"/>
      <c r="H38" s="124">
        <f t="shared" ref="H38:H56" si="2">D38+F38+B38</f>
        <v>7910</v>
      </c>
      <c r="I38" s="174"/>
      <c r="J38" s="125">
        <v>161</v>
      </c>
      <c r="K38" s="174"/>
      <c r="L38" s="125">
        <v>4</v>
      </c>
      <c r="M38" s="174"/>
      <c r="N38" s="124">
        <f t="shared" ref="N38:N56" si="3">+J38+L38</f>
        <v>165</v>
      </c>
      <c r="O38" s="174"/>
      <c r="P38" s="2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</row>
    <row r="39" spans="1:176" ht="17.649999999999999" customHeight="1" x14ac:dyDescent="0.35">
      <c r="A39" s="230" t="s">
        <v>33</v>
      </c>
      <c r="B39" s="125">
        <v>5478</v>
      </c>
      <c r="C39" s="186"/>
      <c r="D39" s="125">
        <v>185</v>
      </c>
      <c r="E39" s="174"/>
      <c r="F39" s="125">
        <v>669</v>
      </c>
      <c r="G39" s="174"/>
      <c r="H39" s="124">
        <f t="shared" si="2"/>
        <v>6332</v>
      </c>
      <c r="I39" s="174"/>
      <c r="J39" s="125">
        <v>177</v>
      </c>
      <c r="K39" s="174"/>
      <c r="L39" s="125">
        <v>11</v>
      </c>
      <c r="M39" s="174"/>
      <c r="N39" s="124">
        <f t="shared" si="3"/>
        <v>188</v>
      </c>
      <c r="O39" s="174"/>
      <c r="P39" s="2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</row>
    <row r="40" spans="1:176" ht="17.649999999999999" customHeight="1" x14ac:dyDescent="0.35">
      <c r="A40" s="230" t="s">
        <v>34</v>
      </c>
      <c r="B40" s="125">
        <v>2463</v>
      </c>
      <c r="C40" s="186"/>
      <c r="D40" s="125">
        <v>99</v>
      </c>
      <c r="E40" s="174"/>
      <c r="F40" s="125">
        <v>331</v>
      </c>
      <c r="G40" s="174"/>
      <c r="H40" s="124">
        <f t="shared" si="2"/>
        <v>2893</v>
      </c>
      <c r="I40" s="174"/>
      <c r="J40" s="125">
        <v>99</v>
      </c>
      <c r="K40" s="174"/>
      <c r="L40" s="125">
        <v>19</v>
      </c>
      <c r="M40" s="174"/>
      <c r="N40" s="124">
        <f t="shared" si="3"/>
        <v>118</v>
      </c>
      <c r="O40" s="174"/>
      <c r="P40" s="2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</row>
    <row r="41" spans="1:176" ht="17.649999999999999" customHeight="1" x14ac:dyDescent="0.3">
      <c r="A41" s="230" t="s">
        <v>35</v>
      </c>
      <c r="B41" s="125">
        <v>6</v>
      </c>
      <c r="C41" s="125"/>
      <c r="D41" s="125">
        <v>70</v>
      </c>
      <c r="E41" s="124"/>
      <c r="F41" s="125">
        <v>114</v>
      </c>
      <c r="G41" s="124"/>
      <c r="H41" s="124">
        <f t="shared" si="2"/>
        <v>190</v>
      </c>
      <c r="I41" s="124"/>
      <c r="J41" s="125">
        <v>39</v>
      </c>
      <c r="K41" s="124"/>
      <c r="L41" s="125">
        <v>3</v>
      </c>
      <c r="M41" s="124"/>
      <c r="N41" s="124">
        <f t="shared" si="3"/>
        <v>42</v>
      </c>
      <c r="O41" s="124"/>
      <c r="P41" s="14"/>
    </row>
    <row r="42" spans="1:176" ht="17.649999999999999" customHeight="1" x14ac:dyDescent="0.3">
      <c r="A42" s="230" t="s">
        <v>36</v>
      </c>
      <c r="B42" s="125">
        <v>3750</v>
      </c>
      <c r="C42" s="125"/>
      <c r="D42" s="125">
        <v>77</v>
      </c>
      <c r="E42" s="124"/>
      <c r="F42" s="125">
        <v>118</v>
      </c>
      <c r="G42" s="124"/>
      <c r="H42" s="124">
        <f t="shared" si="2"/>
        <v>3945</v>
      </c>
      <c r="I42" s="124"/>
      <c r="J42" s="125">
        <v>140</v>
      </c>
      <c r="K42" s="124"/>
      <c r="L42" s="125">
        <v>17</v>
      </c>
      <c r="M42" s="124"/>
      <c r="N42" s="124">
        <f t="shared" si="3"/>
        <v>157</v>
      </c>
      <c r="O42" s="124"/>
      <c r="P42" s="14"/>
    </row>
    <row r="43" spans="1:176" ht="17.649999999999999" customHeight="1" x14ac:dyDescent="0.3">
      <c r="A43" s="230" t="s">
        <v>37</v>
      </c>
      <c r="B43" s="125">
        <v>7513</v>
      </c>
      <c r="C43" s="125"/>
      <c r="D43" s="125">
        <v>127</v>
      </c>
      <c r="E43" s="124"/>
      <c r="F43" s="125">
        <v>373</v>
      </c>
      <c r="G43" s="124"/>
      <c r="H43" s="124">
        <f t="shared" si="2"/>
        <v>8013</v>
      </c>
      <c r="I43" s="124"/>
      <c r="J43" s="125">
        <v>169</v>
      </c>
      <c r="K43" s="124"/>
      <c r="L43" s="125">
        <v>11</v>
      </c>
      <c r="M43" s="124"/>
      <c r="N43" s="124">
        <f t="shared" si="3"/>
        <v>180</v>
      </c>
      <c r="O43" s="124"/>
      <c r="P43" s="14"/>
    </row>
    <row r="44" spans="1:176" ht="17.649999999999999" customHeight="1" x14ac:dyDescent="0.3">
      <c r="A44" s="230" t="s">
        <v>38</v>
      </c>
      <c r="B44" s="125">
        <v>7006</v>
      </c>
      <c r="C44" s="125"/>
      <c r="D44" s="125">
        <v>75</v>
      </c>
      <c r="E44" s="124"/>
      <c r="F44" s="125">
        <v>439</v>
      </c>
      <c r="G44" s="124"/>
      <c r="H44" s="124">
        <f t="shared" si="2"/>
        <v>7520</v>
      </c>
      <c r="I44" s="124"/>
      <c r="J44" s="125">
        <v>164</v>
      </c>
      <c r="K44" s="124"/>
      <c r="L44" s="125">
        <v>23</v>
      </c>
      <c r="M44" s="124"/>
      <c r="N44" s="124">
        <f t="shared" si="3"/>
        <v>187</v>
      </c>
      <c r="O44" s="124"/>
      <c r="P44" s="14"/>
    </row>
    <row r="45" spans="1:176" ht="17.649999999999999" customHeight="1" x14ac:dyDescent="0.3">
      <c r="A45" s="230" t="s">
        <v>39</v>
      </c>
      <c r="B45" s="125">
        <v>6731</v>
      </c>
      <c r="C45" s="125"/>
      <c r="D45" s="125">
        <v>57</v>
      </c>
      <c r="E45" s="124"/>
      <c r="F45" s="125">
        <v>332</v>
      </c>
      <c r="G45" s="124"/>
      <c r="H45" s="124">
        <f t="shared" si="2"/>
        <v>7120</v>
      </c>
      <c r="I45" s="124"/>
      <c r="J45" s="125">
        <v>104</v>
      </c>
      <c r="K45" s="124"/>
      <c r="L45" s="125">
        <v>38</v>
      </c>
      <c r="M45" s="124"/>
      <c r="N45" s="124">
        <f t="shared" si="3"/>
        <v>142</v>
      </c>
      <c r="O45" s="124"/>
      <c r="P45" s="14"/>
    </row>
    <row r="46" spans="1:176" ht="17.649999999999999" customHeight="1" x14ac:dyDescent="0.3">
      <c r="A46" s="230" t="s">
        <v>40</v>
      </c>
      <c r="B46" s="125">
        <v>6965</v>
      </c>
      <c r="C46" s="125"/>
      <c r="D46" s="125">
        <v>62</v>
      </c>
      <c r="E46" s="124"/>
      <c r="F46" s="125">
        <v>169</v>
      </c>
      <c r="G46" s="124"/>
      <c r="H46" s="124">
        <f t="shared" si="2"/>
        <v>7196</v>
      </c>
      <c r="I46" s="124"/>
      <c r="J46" s="125">
        <v>161</v>
      </c>
      <c r="K46" s="124"/>
      <c r="L46" s="125">
        <v>47</v>
      </c>
      <c r="M46" s="124"/>
      <c r="N46" s="124">
        <f t="shared" si="3"/>
        <v>208</v>
      </c>
      <c r="O46" s="124"/>
      <c r="P46" s="14"/>
    </row>
    <row r="47" spans="1:176" ht="17.649999999999999" customHeight="1" x14ac:dyDescent="0.3">
      <c r="A47" s="230" t="s">
        <v>41</v>
      </c>
      <c r="B47" s="125">
        <f>[2]ActualDeliveries!F$128</f>
        <v>3983</v>
      </c>
      <c r="C47" s="125"/>
      <c r="D47" s="125">
        <f>[2]ActualDeliveries!F$129</f>
        <v>44</v>
      </c>
      <c r="E47" s="124"/>
      <c r="F47" s="125">
        <f>[2]ActualDeliveries!F$130</f>
        <v>219</v>
      </c>
      <c r="G47" s="124"/>
      <c r="H47" s="124">
        <f t="shared" si="2"/>
        <v>4246</v>
      </c>
      <c r="I47" s="124"/>
      <c r="J47" s="125">
        <f>[2]ActualDeliveries!F$135</f>
        <v>128</v>
      </c>
      <c r="K47" s="124"/>
      <c r="L47" s="125">
        <f>[2]ActualDeliveries!F$136</f>
        <v>49</v>
      </c>
      <c r="M47" s="124"/>
      <c r="N47" s="124">
        <f t="shared" si="3"/>
        <v>177</v>
      </c>
      <c r="O47" s="124"/>
      <c r="P47" s="14"/>
    </row>
    <row r="48" spans="1:176" ht="17.649999999999999" customHeight="1" x14ac:dyDescent="0.3">
      <c r="A48" s="230" t="s">
        <v>42</v>
      </c>
      <c r="B48" s="125">
        <f t="shared" ref="B48:B55" si="4">B$58</f>
        <v>5136.2857142857147</v>
      </c>
      <c r="C48" s="125"/>
      <c r="D48" s="125">
        <f t="shared" ref="D48:D55" si="5">D$58</f>
        <v>73.142857142857139</v>
      </c>
      <c r="E48" s="124"/>
      <c r="F48" s="125">
        <f t="shared" ref="F48:F55" si="6">F$58</f>
        <v>252</v>
      </c>
      <c r="G48" s="124"/>
      <c r="H48" s="124">
        <f t="shared" si="2"/>
        <v>5461.4285714285716</v>
      </c>
      <c r="I48" s="124"/>
      <c r="J48" s="125">
        <f t="shared" ref="J48:J55" si="7">J$58</f>
        <v>129.28571428571428</v>
      </c>
      <c r="K48" s="124"/>
      <c r="L48" s="125">
        <f t="shared" ref="L48:L55" si="8">L$58</f>
        <v>26.857142857142858</v>
      </c>
      <c r="M48" s="124"/>
      <c r="N48" s="124">
        <f t="shared" si="3"/>
        <v>156.14285714285714</v>
      </c>
      <c r="O48" s="124"/>
      <c r="P48" s="14"/>
    </row>
    <row r="49" spans="1:16" ht="17.649999999999999" customHeight="1" x14ac:dyDescent="0.3">
      <c r="A49" s="230" t="s">
        <v>43</v>
      </c>
      <c r="B49" s="125">
        <f t="shared" si="4"/>
        <v>5136.2857142857147</v>
      </c>
      <c r="C49" s="125">
        <f>ROUND(B49*[2]Manual_Input!K55,6)</f>
        <v>5017.1063199999999</v>
      </c>
      <c r="D49" s="125">
        <f t="shared" si="5"/>
        <v>73.142857142857139</v>
      </c>
      <c r="E49" s="124">
        <f>ROUND(D49*[2]Manual_Input!K55,6)</f>
        <v>71.445693000000006</v>
      </c>
      <c r="F49" s="125">
        <f t="shared" si="6"/>
        <v>252</v>
      </c>
      <c r="G49" s="124">
        <f>ROUND(F49*[2]Manual_Input!K55,6)</f>
        <v>246.152738</v>
      </c>
      <c r="H49" s="124">
        <f t="shared" si="2"/>
        <v>5461.4285714285716</v>
      </c>
      <c r="I49" s="124">
        <f t="shared" ref="I49:I56" si="9">E49+G49+C49</f>
        <v>5334.7047510000002</v>
      </c>
      <c r="J49" s="125">
        <f t="shared" si="7"/>
        <v>129.28571428571428</v>
      </c>
      <c r="K49" s="124">
        <f>ROUND(J49*[2]Manual_Input!K55,6)</f>
        <v>126.285844</v>
      </c>
      <c r="L49" s="125">
        <f t="shared" si="8"/>
        <v>26.857142857142858</v>
      </c>
      <c r="M49" s="124">
        <f>ROUND(L49*[2]Manual_Input!K55,6)</f>
        <v>26.233965000000001</v>
      </c>
      <c r="N49" s="124">
        <f t="shared" si="3"/>
        <v>156.14285714285714</v>
      </c>
      <c r="O49" s="124">
        <f t="shared" ref="O49:O56" si="10">+K49+M49</f>
        <v>152.51980900000001</v>
      </c>
      <c r="P49" s="14"/>
    </row>
    <row r="50" spans="1:16" ht="17.649999999999999" customHeight="1" x14ac:dyDescent="0.3">
      <c r="A50" s="230" t="s">
        <v>44</v>
      </c>
      <c r="B50" s="125">
        <f t="shared" si="4"/>
        <v>5136.2857142857147</v>
      </c>
      <c r="C50" s="125">
        <f>ROUND(B50*[2]Manual_Input!K56,6)</f>
        <v>4900.6922949999998</v>
      </c>
      <c r="D50" s="125">
        <f t="shared" si="5"/>
        <v>73.142857142857139</v>
      </c>
      <c r="E50" s="124">
        <f>ROUND(D50*[2]Manual_Input!K56,6)</f>
        <v>69.787908000000002</v>
      </c>
      <c r="F50" s="125">
        <f t="shared" si="6"/>
        <v>252</v>
      </c>
      <c r="G50" s="124">
        <f>ROUND(F50*[2]Manual_Input!K56,6)</f>
        <v>240.44115300000001</v>
      </c>
      <c r="H50" s="124">
        <f t="shared" si="2"/>
        <v>5461.4285714285716</v>
      </c>
      <c r="I50" s="124">
        <f t="shared" si="9"/>
        <v>5210.9213559999998</v>
      </c>
      <c r="J50" s="125">
        <f t="shared" si="7"/>
        <v>129.28571428571428</v>
      </c>
      <c r="K50" s="124">
        <f>ROUND(J50*[2]Manual_Input!K56,6)</f>
        <v>123.35558</v>
      </c>
      <c r="L50" s="125">
        <f t="shared" si="8"/>
        <v>26.857142857142858</v>
      </c>
      <c r="M50" s="124">
        <f>ROUND(L50*[2]Manual_Input!K56,6)</f>
        <v>25.625247999999999</v>
      </c>
      <c r="N50" s="124">
        <f t="shared" si="3"/>
        <v>156.14285714285714</v>
      </c>
      <c r="O50" s="124">
        <f t="shared" si="10"/>
        <v>148.980828</v>
      </c>
      <c r="P50" s="14"/>
    </row>
    <row r="51" spans="1:16" ht="17.649999999999999" customHeight="1" x14ac:dyDescent="0.3">
      <c r="A51" s="230" t="s">
        <v>45</v>
      </c>
      <c r="B51" s="125">
        <f t="shared" si="4"/>
        <v>5136.2857142857147</v>
      </c>
      <c r="C51" s="125">
        <f>ROUND(B51*[2]Manual_Input!K57,6)</f>
        <v>4786.9794730000003</v>
      </c>
      <c r="D51" s="125">
        <f t="shared" si="5"/>
        <v>73.142857142857139</v>
      </c>
      <c r="E51" s="124">
        <f>ROUND(D51*[2]Manual_Input!K57,6)</f>
        <v>68.168589999999995</v>
      </c>
      <c r="F51" s="125">
        <f t="shared" si="6"/>
        <v>252</v>
      </c>
      <c r="G51" s="124">
        <f>ROUND(F51*[2]Manual_Input!K57,6)</f>
        <v>234.86209600000001</v>
      </c>
      <c r="H51" s="124">
        <f t="shared" si="2"/>
        <v>5461.4285714285716</v>
      </c>
      <c r="I51" s="124">
        <f t="shared" si="9"/>
        <v>5090.0101590000004</v>
      </c>
      <c r="J51" s="125">
        <f t="shared" si="7"/>
        <v>129.28571428571428</v>
      </c>
      <c r="K51" s="124">
        <f>ROUND(J51*[2]Manual_Input!K57,6)</f>
        <v>120.493309</v>
      </c>
      <c r="L51" s="125">
        <f t="shared" si="8"/>
        <v>26.857142857142858</v>
      </c>
      <c r="M51" s="124">
        <f>ROUND(L51*[2]Manual_Input!K57,6)</f>
        <v>25.030653999999998</v>
      </c>
      <c r="N51" s="124">
        <f t="shared" si="3"/>
        <v>156.14285714285714</v>
      </c>
      <c r="O51" s="124">
        <f t="shared" si="10"/>
        <v>145.52396299999998</v>
      </c>
      <c r="P51" s="14"/>
    </row>
    <row r="52" spans="1:16" ht="17.649999999999999" customHeight="1" x14ac:dyDescent="0.3">
      <c r="A52" s="230" t="s">
        <v>46</v>
      </c>
      <c r="B52" s="125">
        <f t="shared" si="4"/>
        <v>5136.2857142857147</v>
      </c>
      <c r="C52" s="125">
        <f>ROUND(B52*[2]Manual_Input!K58,6)</f>
        <v>4675.905178</v>
      </c>
      <c r="D52" s="125">
        <f t="shared" si="5"/>
        <v>73.142857142857139</v>
      </c>
      <c r="E52" s="124">
        <f>ROUND(D52*[2]Manual_Input!K58,6)</f>
        <v>66.586845999999994</v>
      </c>
      <c r="F52" s="125">
        <f t="shared" si="6"/>
        <v>252</v>
      </c>
      <c r="G52" s="124">
        <f>ROUND(F52*[2]Manual_Input!K58,6)</f>
        <v>229.41249199999999</v>
      </c>
      <c r="H52" s="124">
        <f t="shared" si="2"/>
        <v>5461.4285714285716</v>
      </c>
      <c r="I52" s="124">
        <f t="shared" si="9"/>
        <v>4971.9045159999996</v>
      </c>
      <c r="J52" s="125">
        <f t="shared" si="7"/>
        <v>129.28571428571428</v>
      </c>
      <c r="K52" s="124">
        <f>ROUND(J52*[2]Manual_Input!K58,6)</f>
        <v>117.697452</v>
      </c>
      <c r="L52" s="125">
        <f t="shared" si="8"/>
        <v>26.857142857142858</v>
      </c>
      <c r="M52" s="124">
        <f>ROUND(L52*[2]Manual_Input!K58,6)</f>
        <v>24.449857000000002</v>
      </c>
      <c r="N52" s="124">
        <f t="shared" si="3"/>
        <v>156.14285714285714</v>
      </c>
      <c r="O52" s="124">
        <f t="shared" si="10"/>
        <v>142.14730900000001</v>
      </c>
      <c r="P52" s="14"/>
    </row>
    <row r="53" spans="1:16" ht="17.649999999999999" customHeight="1" x14ac:dyDescent="0.3">
      <c r="A53" s="230" t="s">
        <v>47</v>
      </c>
      <c r="B53" s="125">
        <f t="shared" si="4"/>
        <v>5136.2857142857147</v>
      </c>
      <c r="C53" s="125">
        <f>ROUND(B53*[2]Manual_Input!K59,6)</f>
        <v>4567.408187</v>
      </c>
      <c r="D53" s="125">
        <f t="shared" si="5"/>
        <v>73.142857142857139</v>
      </c>
      <c r="E53" s="124">
        <f>ROUND(D53*[2]Manual_Input!K59,6)</f>
        <v>65.041803000000002</v>
      </c>
      <c r="F53" s="125">
        <f t="shared" si="6"/>
        <v>252</v>
      </c>
      <c r="G53" s="124">
        <f>ROUND(F53*[2]Manual_Input!K59,6)</f>
        <v>224.089338</v>
      </c>
      <c r="H53" s="124">
        <f t="shared" si="2"/>
        <v>5461.4285714285716</v>
      </c>
      <c r="I53" s="124">
        <f t="shared" si="9"/>
        <v>4856.5393279999998</v>
      </c>
      <c r="J53" s="125">
        <f t="shared" si="7"/>
        <v>129.28571428571428</v>
      </c>
      <c r="K53" s="124">
        <f>ROUND(J53*[2]Manual_Input!K59,6)</f>
        <v>114.966469</v>
      </c>
      <c r="L53" s="125">
        <f t="shared" si="8"/>
        <v>26.857142857142858</v>
      </c>
      <c r="M53" s="124">
        <f>ROUND(L53*[2]Manual_Input!K59,6)</f>
        <v>23.882536999999999</v>
      </c>
      <c r="N53" s="124">
        <f t="shared" si="3"/>
        <v>156.14285714285714</v>
      </c>
      <c r="O53" s="124">
        <f t="shared" si="10"/>
        <v>138.849006</v>
      </c>
      <c r="P53" s="14"/>
    </row>
    <row r="54" spans="1:16" ht="17.649999999999999" customHeight="1" x14ac:dyDescent="0.3">
      <c r="A54" s="230" t="s">
        <v>48</v>
      </c>
      <c r="B54" s="125">
        <f t="shared" si="4"/>
        <v>5136.2857142857147</v>
      </c>
      <c r="C54" s="125">
        <f>ROUND(B54*[2]Manual_Input!K60,6)</f>
        <v>4461.4286970000003</v>
      </c>
      <c r="D54" s="125">
        <f t="shared" si="5"/>
        <v>73.142857142857139</v>
      </c>
      <c r="E54" s="124">
        <f>ROUND(D54*[2]Manual_Input!K60,6)</f>
        <v>63.532611000000003</v>
      </c>
      <c r="F54" s="125">
        <f t="shared" si="6"/>
        <v>252</v>
      </c>
      <c r="G54" s="124">
        <f>ROUND(F54*[2]Manual_Input!K60,6)</f>
        <v>218.88969900000001</v>
      </c>
      <c r="H54" s="124">
        <f t="shared" si="2"/>
        <v>5461.4285714285716</v>
      </c>
      <c r="I54" s="124">
        <f t="shared" si="9"/>
        <v>4743.8510070000002</v>
      </c>
      <c r="J54" s="125">
        <f t="shared" si="7"/>
        <v>129.28571428571428</v>
      </c>
      <c r="K54" s="124">
        <f>ROUND(J54*[2]Manual_Input!K60,6)</f>
        <v>112.29885299999999</v>
      </c>
      <c r="L54" s="125">
        <f t="shared" si="8"/>
        <v>26.857142857142858</v>
      </c>
      <c r="M54" s="124">
        <f>ROUND(L54*[2]Manual_Input!K60,6)</f>
        <v>23.328381</v>
      </c>
      <c r="N54" s="124">
        <f t="shared" si="3"/>
        <v>156.14285714285714</v>
      </c>
      <c r="O54" s="124">
        <f t="shared" si="10"/>
        <v>135.62723399999999</v>
      </c>
      <c r="P54" s="14"/>
    </row>
    <row r="55" spans="1:16" ht="17.649999999999999" customHeight="1" x14ac:dyDescent="0.3">
      <c r="A55" s="230" t="s">
        <v>49</v>
      </c>
      <c r="B55" s="125">
        <f t="shared" si="4"/>
        <v>5136.2857142857147</v>
      </c>
      <c r="C55" s="125">
        <f>ROUND(B55*[2]Manual_Input!K61,6)</f>
        <v>4357.9082930000004</v>
      </c>
      <c r="D55" s="125">
        <f t="shared" si="5"/>
        <v>73.142857142857139</v>
      </c>
      <c r="E55" s="124">
        <f>ROUND(D55*[2]Manual_Input!K61,6)</f>
        <v>62.058436999999998</v>
      </c>
      <c r="F55" s="125">
        <f t="shared" si="6"/>
        <v>252</v>
      </c>
      <c r="G55" s="124">
        <f>ROUND(F55*[2]Manual_Input!K61,6)</f>
        <v>213.810709</v>
      </c>
      <c r="H55" s="124">
        <f t="shared" si="2"/>
        <v>5461.4285714285716</v>
      </c>
      <c r="I55" s="124">
        <f t="shared" si="9"/>
        <v>4633.7774390000004</v>
      </c>
      <c r="J55" s="125">
        <f t="shared" si="7"/>
        <v>129.28571428571428</v>
      </c>
      <c r="K55" s="124">
        <f>ROUND(J55*[2]Manual_Input!K61,6)</f>
        <v>109.693136</v>
      </c>
      <c r="L55" s="125">
        <f t="shared" si="8"/>
        <v>26.857142857142858</v>
      </c>
      <c r="M55" s="124">
        <f>ROUND(L55*[2]Manual_Input!K61,6)</f>
        <v>22.787082000000002</v>
      </c>
      <c r="N55" s="124">
        <f t="shared" si="3"/>
        <v>156.14285714285714</v>
      </c>
      <c r="O55" s="124">
        <f t="shared" si="10"/>
        <v>132.48021800000001</v>
      </c>
      <c r="P55" s="14"/>
    </row>
    <row r="56" spans="1:16" ht="17.649999999999999" customHeight="1" thickBot="1" x14ac:dyDescent="0.35">
      <c r="A56" s="230" t="s">
        <v>50</v>
      </c>
      <c r="B56" s="125">
        <f>B$58</f>
        <v>5136.2857142857147</v>
      </c>
      <c r="C56" s="125">
        <f>ROUND(B56*[2]Manual_Input!K62,6)</f>
        <v>4256.7899170000001</v>
      </c>
      <c r="D56" s="125">
        <f>D$58</f>
        <v>73.142857142857139</v>
      </c>
      <c r="E56" s="124">
        <f>ROUND(D56*[2]Manual_Input!K62,6)</f>
        <v>60.618468999999997</v>
      </c>
      <c r="F56" s="125">
        <f>F$58</f>
        <v>252</v>
      </c>
      <c r="G56" s="124">
        <f>ROUND(F56*[2]Manual_Input!K62,6)</f>
        <v>208.849569</v>
      </c>
      <c r="H56" s="124">
        <f t="shared" si="2"/>
        <v>5461.4285714285716</v>
      </c>
      <c r="I56" s="124">
        <f t="shared" si="9"/>
        <v>4526.257955</v>
      </c>
      <c r="J56" s="125">
        <f>J$58</f>
        <v>129.28571428571428</v>
      </c>
      <c r="K56" s="124">
        <f>ROUND(J56*[2]Manual_Input!K62,6)</f>
        <v>107.14788</v>
      </c>
      <c r="L56" s="125">
        <f>L$58</f>
        <v>26.857142857142858</v>
      </c>
      <c r="M56" s="124">
        <f>ROUND(L56*[2]Manual_Input!K62,6)</f>
        <v>22.258344000000001</v>
      </c>
      <c r="N56" s="124">
        <f t="shared" si="3"/>
        <v>156.14285714285714</v>
      </c>
      <c r="O56" s="124">
        <f t="shared" si="10"/>
        <v>129.40622400000001</v>
      </c>
      <c r="P56" s="14"/>
    </row>
    <row r="57" spans="1:16" ht="17.649999999999999" customHeight="1" x14ac:dyDescent="0.3">
      <c r="A57" s="230" t="s">
        <v>51</v>
      </c>
      <c r="B57" s="133">
        <f t="shared" ref="B57:O57" si="11">SUM(B7:B56)</f>
        <v>164439.57142857139</v>
      </c>
      <c r="C57" s="133">
        <f t="shared" si="11"/>
        <v>37024.218359999999</v>
      </c>
      <c r="D57" s="133">
        <f t="shared" si="11"/>
        <v>5885.2857142857119</v>
      </c>
      <c r="E57" s="133">
        <f t="shared" si="11"/>
        <v>527.24035700000002</v>
      </c>
      <c r="F57" s="133">
        <f t="shared" si="11"/>
        <v>24539</v>
      </c>
      <c r="G57" s="133">
        <f t="shared" si="11"/>
        <v>1816.5077940000001</v>
      </c>
      <c r="H57" s="133">
        <f t="shared" si="11"/>
        <v>194863.85714285722</v>
      </c>
      <c r="I57" s="133">
        <f t="shared" si="11"/>
        <v>39367.966510999999</v>
      </c>
      <c r="J57" s="133">
        <f t="shared" si="11"/>
        <v>5072.5714285714312</v>
      </c>
      <c r="K57" s="133">
        <f t="shared" si="11"/>
        <v>931.93852299999992</v>
      </c>
      <c r="L57" s="133">
        <f t="shared" si="11"/>
        <v>488.7142857142855</v>
      </c>
      <c r="M57" s="133">
        <f t="shared" si="11"/>
        <v>193.59606799999997</v>
      </c>
      <c r="N57" s="133">
        <f t="shared" si="11"/>
        <v>5561.2857142857119</v>
      </c>
      <c r="O57" s="133">
        <f t="shared" si="11"/>
        <v>1125.5345909999999</v>
      </c>
      <c r="P57" s="14"/>
    </row>
    <row r="58" spans="1:16" ht="17.649999999999999" customHeight="1" x14ac:dyDescent="0.3">
      <c r="A58" s="230" t="s">
        <v>72</v>
      </c>
      <c r="B58" s="124">
        <f>AVERAGE(B41:B47)</f>
        <v>5136.2857142857147</v>
      </c>
      <c r="C58" s="124"/>
      <c r="D58" s="124">
        <f>AVERAGE(D41:D47)</f>
        <v>73.142857142857139</v>
      </c>
      <c r="E58" s="124"/>
      <c r="F58" s="124">
        <f>AVERAGE(F41:F47)</f>
        <v>252</v>
      </c>
      <c r="G58" s="124"/>
      <c r="H58" s="124">
        <f>D58+F58+B58</f>
        <v>5461.4285714285716</v>
      </c>
      <c r="I58" s="124"/>
      <c r="J58" s="124">
        <f>AVERAGE(J41:J47)</f>
        <v>129.28571428571428</v>
      </c>
      <c r="K58" s="124"/>
      <c r="L58" s="124">
        <f>AVERAGE(L41:L47)</f>
        <v>26.857142857142858</v>
      </c>
      <c r="M58" s="124"/>
      <c r="N58" s="124">
        <f>AVERAGE(N41:N47)</f>
        <v>156.14285714285714</v>
      </c>
      <c r="O58" s="124"/>
      <c r="P58" s="14"/>
    </row>
    <row r="59" spans="1:16" ht="17.649999999999999" customHeight="1" x14ac:dyDescent="0.3">
      <c r="A59" s="230" t="s">
        <v>53</v>
      </c>
      <c r="B59" s="125">
        <f>+SUM(B49:B56)</f>
        <v>41090.285714285717</v>
      </c>
      <c r="C59" s="125">
        <f t="shared" ref="C59:O59" si="12">+SUM(C49:C56)</f>
        <v>37024.218359999999</v>
      </c>
      <c r="D59" s="125">
        <f t="shared" si="12"/>
        <v>585.142857142857</v>
      </c>
      <c r="E59" s="125">
        <f t="shared" si="12"/>
        <v>527.24035700000002</v>
      </c>
      <c r="F59" s="125">
        <f t="shared" si="12"/>
        <v>2016</v>
      </c>
      <c r="G59" s="125">
        <f t="shared" si="12"/>
        <v>1816.5077940000001</v>
      </c>
      <c r="H59" s="125">
        <f t="shared" si="12"/>
        <v>43691.428571428572</v>
      </c>
      <c r="I59" s="125">
        <f t="shared" si="12"/>
        <v>39367.966510999999</v>
      </c>
      <c r="J59" s="125">
        <f t="shared" si="12"/>
        <v>1034.285714285714</v>
      </c>
      <c r="K59" s="125">
        <f t="shared" si="12"/>
        <v>931.93852299999992</v>
      </c>
      <c r="L59" s="125">
        <f t="shared" si="12"/>
        <v>214.85714285714286</v>
      </c>
      <c r="M59" s="125">
        <f t="shared" si="12"/>
        <v>193.59606799999997</v>
      </c>
      <c r="N59" s="125">
        <f t="shared" si="12"/>
        <v>1249.1428571428571</v>
      </c>
      <c r="O59" s="125">
        <f t="shared" si="12"/>
        <v>1125.5345909999999</v>
      </c>
      <c r="P59" s="14"/>
    </row>
    <row r="60" spans="1:16" x14ac:dyDescent="0.2">
      <c r="A60" s="5"/>
      <c r="B60" s="9"/>
      <c r="C60" s="9"/>
      <c r="D60" s="9"/>
      <c r="E60" s="9"/>
      <c r="F60" s="9"/>
      <c r="G60" s="9"/>
      <c r="H60" s="9"/>
      <c r="I60" s="9"/>
      <c r="J60" s="14"/>
      <c r="K60" s="14"/>
      <c r="L60" s="14"/>
      <c r="M60" s="14"/>
      <c r="N60" s="14"/>
      <c r="O60" s="14"/>
      <c r="P60" s="14"/>
    </row>
    <row r="61" spans="1:16" x14ac:dyDescent="0.2">
      <c r="A61" s="5"/>
      <c r="B61" s="9"/>
      <c r="C61" s="9"/>
      <c r="D61" s="9"/>
      <c r="E61" s="9"/>
      <c r="F61" s="9"/>
      <c r="G61" s="9"/>
      <c r="H61" s="9"/>
      <c r="I61" s="9"/>
      <c r="J61" s="14"/>
      <c r="K61" s="14"/>
      <c r="L61" s="14"/>
      <c r="M61" s="14"/>
      <c r="N61" s="14"/>
      <c r="O61" s="14"/>
      <c r="P61" s="14"/>
    </row>
    <row r="62" spans="1:16" ht="21.75" customHeight="1" x14ac:dyDescent="0.2">
      <c r="A62" s="5"/>
      <c r="B62" s="14"/>
      <c r="C62" s="14"/>
      <c r="D62" s="14"/>
      <c r="E62" s="14"/>
      <c r="F62" s="14"/>
      <c r="G62" s="14"/>
      <c r="H62" s="14"/>
      <c r="I62" s="14"/>
      <c r="K62" s="14"/>
      <c r="L62" s="14"/>
      <c r="M62" s="14"/>
      <c r="N62" s="14"/>
      <c r="O62" s="14"/>
      <c r="P62" s="14"/>
    </row>
    <row r="63" spans="1:16" x14ac:dyDescent="0.2">
      <c r="A63" s="5"/>
      <c r="B63" s="14"/>
      <c r="C63" s="14"/>
      <c r="D63" s="14"/>
      <c r="E63" s="14"/>
      <c r="F63" s="14"/>
      <c r="G63" s="14"/>
      <c r="H63" s="14"/>
      <c r="I63" s="14"/>
      <c r="K63" s="14"/>
      <c r="L63" s="14"/>
      <c r="M63" s="14"/>
      <c r="N63" s="14"/>
      <c r="O63" s="14"/>
      <c r="P63" s="14"/>
    </row>
    <row r="64" spans="1:16" x14ac:dyDescent="0.2">
      <c r="A64" s="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x14ac:dyDescent="0.2">
      <c r="A65" s="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">
      <c r="A66" s="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">
      <c r="A67" s="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">
      <c r="A68" s="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">
      <c r="A69" s="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">
      <c r="A70" s="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">
      <c r="A71" s="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">
      <c r="A72" s="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">
      <c r="A73" s="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">
      <c r="A74" s="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">
      <c r="A75" s="5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">
      <c r="A76" s="5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">
      <c r="A77" s="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">
      <c r="A78" s="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">
      <c r="A79" s="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">
      <c r="A80" s="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x14ac:dyDescent="0.2">
      <c r="A81" s="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2">
      <c r="A82" s="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x14ac:dyDescent="0.2">
      <c r="A83" s="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">
      <c r="A84" s="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">
      <c r="A85" s="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2">
      <c r="A86" s="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2">
      <c r="A87" s="5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2">
      <c r="A88" s="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2">
      <c r="A89" s="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">
      <c r="A90" s="5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">
      <c r="A91" s="5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2">
      <c r="A92" s="5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2">
      <c r="A93" s="5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2">
      <c r="A94" s="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">
      <c r="A95" s="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">
      <c r="A96" s="5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x14ac:dyDescent="0.2">
      <c r="A97" s="5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x14ac:dyDescent="0.2">
      <c r="A98" s="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x14ac:dyDescent="0.2">
      <c r="A99" s="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x14ac:dyDescent="0.2">
      <c r="A100" s="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x14ac:dyDescent="0.2">
      <c r="A101" s="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x14ac:dyDescent="0.2">
      <c r="A102" s="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x14ac:dyDescent="0.2">
      <c r="A103" s="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x14ac:dyDescent="0.2">
      <c r="A104" s="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x14ac:dyDescent="0.2">
      <c r="A105" s="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x14ac:dyDescent="0.2">
      <c r="A106" s="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x14ac:dyDescent="0.2">
      <c r="A107" s="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 x14ac:dyDescent="0.2">
      <c r="A108" s="5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 x14ac:dyDescent="0.2">
      <c r="A109" s="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x14ac:dyDescent="0.2">
      <c r="A110" s="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 x14ac:dyDescent="0.2">
      <c r="A111" s="5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 x14ac:dyDescent="0.2">
      <c r="A112" s="5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1:16" x14ac:dyDescent="0.2">
      <c r="A113" s="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6" x14ac:dyDescent="0.2">
      <c r="A114" s="5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x14ac:dyDescent="0.2">
      <c r="A115" s="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1:16" x14ac:dyDescent="0.2">
      <c r="A116" s="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1:16" x14ac:dyDescent="0.2">
      <c r="A117" s="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1:16" x14ac:dyDescent="0.2">
      <c r="A118" s="5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1:16" x14ac:dyDescent="0.2">
      <c r="A119" s="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x14ac:dyDescent="0.2">
      <c r="A120" s="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1:16" x14ac:dyDescent="0.2">
      <c r="A121" s="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1:16" x14ac:dyDescent="0.2">
      <c r="A122" s="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16" x14ac:dyDescent="0.2">
      <c r="A123" s="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16" x14ac:dyDescent="0.2">
      <c r="A124" s="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16" x14ac:dyDescent="0.2">
      <c r="A125" s="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1:16" x14ac:dyDescent="0.2">
      <c r="A126" s="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1:16" x14ac:dyDescent="0.2">
      <c r="A127" s="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1:16" x14ac:dyDescent="0.2">
      <c r="A128" s="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x14ac:dyDescent="0.2">
      <c r="A129" s="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x14ac:dyDescent="0.2">
      <c r="A130" s="5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1:16" x14ac:dyDescent="0.2">
      <c r="A131" s="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6" x14ac:dyDescent="0.2">
      <c r="A132" s="5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1:16" x14ac:dyDescent="0.2">
      <c r="A133" s="5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1:16" x14ac:dyDescent="0.2">
      <c r="A134" s="5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1:16" x14ac:dyDescent="0.2">
      <c r="A135" s="5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1:16" x14ac:dyDescent="0.2">
      <c r="A136" s="5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1:16" x14ac:dyDescent="0.2">
      <c r="A137" s="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1:16" x14ac:dyDescent="0.2">
      <c r="A138" s="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1:16" x14ac:dyDescent="0.2">
      <c r="A139" s="5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1:16" x14ac:dyDescent="0.2">
      <c r="A140" s="5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1:16" x14ac:dyDescent="0.2">
      <c r="A141" s="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1:16" x14ac:dyDescent="0.2">
      <c r="A142" s="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1:16" x14ac:dyDescent="0.2">
      <c r="A143" s="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6" x14ac:dyDescent="0.2">
      <c r="A144" s="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1:16" x14ac:dyDescent="0.2">
      <c r="A145" s="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1:16" x14ac:dyDescent="0.2">
      <c r="A146" s="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1:16" x14ac:dyDescent="0.2">
      <c r="A147" s="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1:16" x14ac:dyDescent="0.2">
      <c r="A148" s="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1:16" x14ac:dyDescent="0.2">
      <c r="A149" s="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1:16" x14ac:dyDescent="0.2">
      <c r="A150" s="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1:16" x14ac:dyDescent="0.2">
      <c r="A151" s="5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1:16" x14ac:dyDescent="0.2">
      <c r="A152" s="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1:16" x14ac:dyDescent="0.2">
      <c r="A153" s="5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1:16" x14ac:dyDescent="0.2">
      <c r="A154" s="5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1:16" x14ac:dyDescent="0.2">
      <c r="A155" s="5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1:16" x14ac:dyDescent="0.2">
      <c r="A156" s="5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1:16" x14ac:dyDescent="0.2">
      <c r="A157" s="5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1:16" x14ac:dyDescent="0.2">
      <c r="A158" s="5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x14ac:dyDescent="0.2">
      <c r="A159" s="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x14ac:dyDescent="0.2">
      <c r="A160" s="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1:16" x14ac:dyDescent="0.2">
      <c r="A161" s="5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1:16" x14ac:dyDescent="0.2">
      <c r="A162" s="5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1:16" x14ac:dyDescent="0.2">
      <c r="A163" s="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x14ac:dyDescent="0.2">
      <c r="A164" s="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1:16" x14ac:dyDescent="0.2">
      <c r="A165" s="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1:16" x14ac:dyDescent="0.2">
      <c r="A166" s="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1:16" x14ac:dyDescent="0.2">
      <c r="A167" s="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1:16" x14ac:dyDescent="0.2">
      <c r="A168" s="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1:16" x14ac:dyDescent="0.2">
      <c r="A169" s="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1:16" x14ac:dyDescent="0.2">
      <c r="A170" s="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1:16" x14ac:dyDescent="0.2">
      <c r="A171" s="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16" x14ac:dyDescent="0.2">
      <c r="A172" s="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16" x14ac:dyDescent="0.2">
      <c r="A173" s="5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1:16" x14ac:dyDescent="0.2">
      <c r="A174" s="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1:16" x14ac:dyDescent="0.2">
      <c r="A175" s="5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1:16" x14ac:dyDescent="0.2">
      <c r="A176" s="5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1:16" x14ac:dyDescent="0.2">
      <c r="A177" s="5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1:16" x14ac:dyDescent="0.2">
      <c r="A178" s="5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1:16" x14ac:dyDescent="0.2">
      <c r="A179" s="5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1:16" x14ac:dyDescent="0.2">
      <c r="A180" s="5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1:16" x14ac:dyDescent="0.2">
      <c r="A181" s="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1:16" x14ac:dyDescent="0.2">
      <c r="A182" s="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1:16" x14ac:dyDescent="0.2">
      <c r="A183" s="5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1:16" x14ac:dyDescent="0.2">
      <c r="A184" s="5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1:16" x14ac:dyDescent="0.2">
      <c r="A185" s="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1:16" x14ac:dyDescent="0.2">
      <c r="A186" s="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1:16" x14ac:dyDescent="0.2">
      <c r="A187" s="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1:16" x14ac:dyDescent="0.2">
      <c r="A188" s="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1:16" x14ac:dyDescent="0.2">
      <c r="A189" s="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1:16" x14ac:dyDescent="0.2">
      <c r="A190" s="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1:16" x14ac:dyDescent="0.2">
      <c r="A191" s="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1:16" x14ac:dyDescent="0.2">
      <c r="A192" s="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1:16" x14ac:dyDescent="0.2">
      <c r="A193" s="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1:16" x14ac:dyDescent="0.2">
      <c r="A194" s="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1:16" x14ac:dyDescent="0.2">
      <c r="A195" s="5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1:16" x14ac:dyDescent="0.2">
      <c r="A196" s="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1:16" x14ac:dyDescent="0.2">
      <c r="A197" s="5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1:16" x14ac:dyDescent="0.2">
      <c r="A198" s="5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1:16" x14ac:dyDescent="0.2">
      <c r="A199" s="5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1:16" x14ac:dyDescent="0.2">
      <c r="A200" s="5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1:16" x14ac:dyDescent="0.2">
      <c r="A201" s="5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1:16" x14ac:dyDescent="0.2">
      <c r="A202" s="5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1:16" x14ac:dyDescent="0.2">
      <c r="A203" s="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1:16" x14ac:dyDescent="0.2">
      <c r="A204" s="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1:16" x14ac:dyDescent="0.2">
      <c r="A205" s="5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1:16" x14ac:dyDescent="0.2">
      <c r="A206" s="5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1:16" x14ac:dyDescent="0.2">
      <c r="A207" s="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1:16" x14ac:dyDescent="0.2">
      <c r="A208" s="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1:16" x14ac:dyDescent="0.2">
      <c r="A209" s="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1:16" x14ac:dyDescent="0.2">
      <c r="A210" s="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1:16" x14ac:dyDescent="0.2">
      <c r="A211" s="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1:16" x14ac:dyDescent="0.2">
      <c r="A212" s="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1:16" x14ac:dyDescent="0.2">
      <c r="A213" s="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1:16" x14ac:dyDescent="0.2">
      <c r="A214" s="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1:16" x14ac:dyDescent="0.2">
      <c r="A215" s="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16" x14ac:dyDescent="0.2">
      <c r="A216" s="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1:16" x14ac:dyDescent="0.2">
      <c r="A217" s="5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1:16" x14ac:dyDescent="0.2">
      <c r="A218" s="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1:16" x14ac:dyDescent="0.2">
      <c r="A219" s="5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1:16" x14ac:dyDescent="0.2">
      <c r="A220" s="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1:16" x14ac:dyDescent="0.2">
      <c r="A221" s="5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1:16" x14ac:dyDescent="0.2">
      <c r="A222" s="5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1:16" x14ac:dyDescent="0.2">
      <c r="A223" s="5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1:16" x14ac:dyDescent="0.2">
      <c r="A224" s="5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1:16" x14ac:dyDescent="0.2">
      <c r="A225" s="5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1:16" x14ac:dyDescent="0.2">
      <c r="A226" s="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1:16" x14ac:dyDescent="0.2">
      <c r="A227" s="5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1:16" x14ac:dyDescent="0.2">
      <c r="A228" s="5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1:16" x14ac:dyDescent="0.2">
      <c r="A229" s="5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1:16" x14ac:dyDescent="0.2">
      <c r="A230" s="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1:16" x14ac:dyDescent="0.2">
      <c r="A231" s="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1:16" x14ac:dyDescent="0.2">
      <c r="A232" s="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1:16" x14ac:dyDescent="0.2">
      <c r="A233" s="5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1:16" x14ac:dyDescent="0.2">
      <c r="A234" s="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1:16" x14ac:dyDescent="0.2">
      <c r="A235" s="5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1:16" x14ac:dyDescent="0.2">
      <c r="A236" s="5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1:16" x14ac:dyDescent="0.2">
      <c r="A237" s="5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1:16" x14ac:dyDescent="0.2">
      <c r="A238" s="5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1:16" x14ac:dyDescent="0.2">
      <c r="A239" s="5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1:16" x14ac:dyDescent="0.2">
      <c r="A240" s="5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1:16" x14ac:dyDescent="0.2">
      <c r="A241" s="5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1:16" x14ac:dyDescent="0.2">
      <c r="A242" s="5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1:16" x14ac:dyDescent="0.2">
      <c r="A243" s="5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1:16" x14ac:dyDescent="0.2">
      <c r="A244" s="5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1:16" x14ac:dyDescent="0.2">
      <c r="A245" s="5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1:16" x14ac:dyDescent="0.2">
      <c r="A246" s="5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1:16" x14ac:dyDescent="0.2">
      <c r="A247" s="5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1:16" x14ac:dyDescent="0.2">
      <c r="A248" s="5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1:16" x14ac:dyDescent="0.2">
      <c r="A249" s="5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1:16" x14ac:dyDescent="0.2">
      <c r="A250" s="5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1:16" x14ac:dyDescent="0.2">
      <c r="A251" s="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1:16" x14ac:dyDescent="0.2">
      <c r="A252" s="5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1:16" x14ac:dyDescent="0.2">
      <c r="A253" s="5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1:16" x14ac:dyDescent="0.2">
      <c r="A254" s="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1:16" x14ac:dyDescent="0.2">
      <c r="A255" s="5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1:16" x14ac:dyDescent="0.2">
      <c r="A256" s="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1:16" x14ac:dyDescent="0.2">
      <c r="A257" s="5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1:16" x14ac:dyDescent="0.2">
      <c r="A258" s="5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1:16" x14ac:dyDescent="0.2">
      <c r="A259" s="5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1:16" x14ac:dyDescent="0.2">
      <c r="A260" s="5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1:16" x14ac:dyDescent="0.2">
      <c r="A261" s="5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1:16" x14ac:dyDescent="0.2">
      <c r="A262" s="5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1:16" x14ac:dyDescent="0.2">
      <c r="A263" s="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1:16" x14ac:dyDescent="0.2">
      <c r="A264" s="5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1:16" x14ac:dyDescent="0.2">
      <c r="A265" s="5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1:16" x14ac:dyDescent="0.2">
      <c r="A266" s="5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1:16" x14ac:dyDescent="0.2">
      <c r="A267" s="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1:16" x14ac:dyDescent="0.2">
      <c r="A268" s="5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1:16" x14ac:dyDescent="0.2">
      <c r="A269" s="5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1:16" x14ac:dyDescent="0.2">
      <c r="A270" s="5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1:16" x14ac:dyDescent="0.2">
      <c r="A271" s="5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1:16" x14ac:dyDescent="0.2">
      <c r="A272" s="5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1:16" x14ac:dyDescent="0.2">
      <c r="A273" s="5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1:16" x14ac:dyDescent="0.2">
      <c r="A274" s="5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1:16" x14ac:dyDescent="0.2">
      <c r="A275" s="5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1:16" x14ac:dyDescent="0.2">
      <c r="A276" s="5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1:16" x14ac:dyDescent="0.2">
      <c r="A277" s="5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1:16" x14ac:dyDescent="0.2">
      <c r="A278" s="5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1:16" x14ac:dyDescent="0.2">
      <c r="A279" s="5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1:16" x14ac:dyDescent="0.2">
      <c r="A280" s="5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1:16" x14ac:dyDescent="0.2">
      <c r="A281" s="5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1:16" x14ac:dyDescent="0.2">
      <c r="A282" s="5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1:16" x14ac:dyDescent="0.2">
      <c r="A283" s="5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1:16" x14ac:dyDescent="0.2">
      <c r="A284" s="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1:16" x14ac:dyDescent="0.2">
      <c r="A285" s="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1:16" x14ac:dyDescent="0.2">
      <c r="A286" s="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1:16" x14ac:dyDescent="0.2">
      <c r="A287" s="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1:16" x14ac:dyDescent="0.2">
      <c r="A288" s="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1:16" x14ac:dyDescent="0.2">
      <c r="A289" s="5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1:16" x14ac:dyDescent="0.2">
      <c r="A290" s="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1:16" x14ac:dyDescent="0.2">
      <c r="A291" s="5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1:16" x14ac:dyDescent="0.2">
      <c r="A292" s="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1:16" x14ac:dyDescent="0.2">
      <c r="A293" s="5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1:16" x14ac:dyDescent="0.2">
      <c r="A294" s="5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1:16" x14ac:dyDescent="0.2">
      <c r="A295" s="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1:16" x14ac:dyDescent="0.2">
      <c r="A296" s="5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1:16" x14ac:dyDescent="0.2">
      <c r="A297" s="5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1:16" x14ac:dyDescent="0.2">
      <c r="A298" s="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1:16" x14ac:dyDescent="0.2">
      <c r="A299" s="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1:16" x14ac:dyDescent="0.2">
      <c r="A300" s="5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1:16" x14ac:dyDescent="0.2">
      <c r="A301" s="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1:16" x14ac:dyDescent="0.2">
      <c r="A302" s="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1:16" x14ac:dyDescent="0.2">
      <c r="A303" s="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1:16" x14ac:dyDescent="0.2">
      <c r="A304" s="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1:16" x14ac:dyDescent="0.2">
      <c r="A305" s="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1:16" x14ac:dyDescent="0.2">
      <c r="A306" s="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1:16" x14ac:dyDescent="0.2">
      <c r="A307" s="5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1:16" x14ac:dyDescent="0.2">
      <c r="A308" s="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1:16" x14ac:dyDescent="0.2">
      <c r="A309" s="5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1:16" x14ac:dyDescent="0.2">
      <c r="A310" s="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1:16" x14ac:dyDescent="0.2">
      <c r="A311" s="5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1:16" x14ac:dyDescent="0.2">
      <c r="A312" s="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1:16" x14ac:dyDescent="0.2">
      <c r="A313" s="5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1:16" x14ac:dyDescent="0.2">
      <c r="A314" s="5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1:16" x14ac:dyDescent="0.2">
      <c r="A315" s="5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1:16" x14ac:dyDescent="0.2">
      <c r="A316" s="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1:16" x14ac:dyDescent="0.2">
      <c r="A317" s="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1:16" x14ac:dyDescent="0.2">
      <c r="A318" s="5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1:16" x14ac:dyDescent="0.2">
      <c r="A319" s="5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1:16" x14ac:dyDescent="0.2">
      <c r="A320" s="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1:16" x14ac:dyDescent="0.2">
      <c r="A321" s="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1:16" x14ac:dyDescent="0.2">
      <c r="A322" s="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1:16" x14ac:dyDescent="0.2">
      <c r="A323" s="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1:16" x14ac:dyDescent="0.2">
      <c r="A324" s="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1:16" x14ac:dyDescent="0.2">
      <c r="A325" s="5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1:16" x14ac:dyDescent="0.2">
      <c r="A326" s="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1:16" x14ac:dyDescent="0.2">
      <c r="A327" s="5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1:16" x14ac:dyDescent="0.2">
      <c r="A328" s="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1:16" x14ac:dyDescent="0.2">
      <c r="A329" s="5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1:16" x14ac:dyDescent="0.2">
      <c r="A330" s="5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1:16" x14ac:dyDescent="0.2">
      <c r="A331" s="5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1:16" x14ac:dyDescent="0.2">
      <c r="A332" s="5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1:16" x14ac:dyDescent="0.2">
      <c r="A333" s="5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1:16" x14ac:dyDescent="0.2">
      <c r="A334" s="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1:16" x14ac:dyDescent="0.2">
      <c r="A335" s="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1:16" x14ac:dyDescent="0.2">
      <c r="A336" s="5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1:16" x14ac:dyDescent="0.2">
      <c r="A337" s="5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1:16" x14ac:dyDescent="0.2">
      <c r="A338" s="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1:16" x14ac:dyDescent="0.2">
      <c r="A339" s="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1:16" x14ac:dyDescent="0.2">
      <c r="A340" s="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1:16" x14ac:dyDescent="0.2">
      <c r="A341" s="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1:16" x14ac:dyDescent="0.2">
      <c r="A342" s="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1:16" x14ac:dyDescent="0.2">
      <c r="A343" s="5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1:16" x14ac:dyDescent="0.2">
      <c r="A344" s="5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1:16" x14ac:dyDescent="0.2">
      <c r="A345" s="5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1:16" x14ac:dyDescent="0.2">
      <c r="A346" s="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1:16" x14ac:dyDescent="0.2">
      <c r="A347" s="5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1:16" x14ac:dyDescent="0.2">
      <c r="A348" s="5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1:16" x14ac:dyDescent="0.2">
      <c r="A349" s="5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1:16" x14ac:dyDescent="0.2">
      <c r="A350" s="5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1:16" x14ac:dyDescent="0.2">
      <c r="A351" s="5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1:16" x14ac:dyDescent="0.2">
      <c r="A352" s="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1:16" x14ac:dyDescent="0.2">
      <c r="A353" s="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1:16" x14ac:dyDescent="0.2">
      <c r="A354" s="5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1:16" x14ac:dyDescent="0.2">
      <c r="A355" s="5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1:16" x14ac:dyDescent="0.2">
      <c r="A356" s="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1:16" x14ac:dyDescent="0.2">
      <c r="A357" s="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1:16" x14ac:dyDescent="0.2">
      <c r="A358" s="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1:16" x14ac:dyDescent="0.2">
      <c r="A359" s="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1:16" x14ac:dyDescent="0.2">
      <c r="A360" s="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1:16" x14ac:dyDescent="0.2">
      <c r="A361" s="5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1:16" x14ac:dyDescent="0.2">
      <c r="A362" s="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1:16" x14ac:dyDescent="0.2">
      <c r="A363" s="5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1:16" x14ac:dyDescent="0.2">
      <c r="A364" s="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1:16" x14ac:dyDescent="0.2">
      <c r="A365" s="5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1:16" x14ac:dyDescent="0.2">
      <c r="A366" s="5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1:16" x14ac:dyDescent="0.2">
      <c r="A367" s="5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1:16" x14ac:dyDescent="0.2">
      <c r="A368" s="5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1:16" x14ac:dyDescent="0.2">
      <c r="A369" s="5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1:16" x14ac:dyDescent="0.2">
      <c r="A370" s="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1:16" x14ac:dyDescent="0.2">
      <c r="A371" s="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1:16" x14ac:dyDescent="0.2">
      <c r="A372" s="5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1:16" x14ac:dyDescent="0.2">
      <c r="A373" s="5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1:16" x14ac:dyDescent="0.2">
      <c r="A374" s="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1:16" x14ac:dyDescent="0.2">
      <c r="A375" s="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1:16" x14ac:dyDescent="0.2">
      <c r="A376" s="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1:16" x14ac:dyDescent="0.2">
      <c r="A377" s="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1:16" x14ac:dyDescent="0.2">
      <c r="A378" s="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1:16" x14ac:dyDescent="0.2">
      <c r="A379" s="5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1:16" x14ac:dyDescent="0.2">
      <c r="A380" s="5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1:16" x14ac:dyDescent="0.2">
      <c r="A381" s="5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1:16" x14ac:dyDescent="0.2">
      <c r="A382" s="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1:16" x14ac:dyDescent="0.2">
      <c r="A383" s="5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1:16" x14ac:dyDescent="0.2">
      <c r="A384" s="5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1:16" x14ac:dyDescent="0.2">
      <c r="A385" s="5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1:16" x14ac:dyDescent="0.2">
      <c r="A386" s="5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1:16" x14ac:dyDescent="0.2">
      <c r="A387" s="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1:16" x14ac:dyDescent="0.2">
      <c r="A388" s="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1:16" x14ac:dyDescent="0.2">
      <c r="A389" s="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1:16" x14ac:dyDescent="0.2">
      <c r="A390" s="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1:16" x14ac:dyDescent="0.2">
      <c r="A391" s="5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1:16" x14ac:dyDescent="0.2">
      <c r="A392" s="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1:16" x14ac:dyDescent="0.2">
      <c r="A393" s="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1:16" x14ac:dyDescent="0.2">
      <c r="A394" s="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1:16" x14ac:dyDescent="0.2">
      <c r="A395" s="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1:16" x14ac:dyDescent="0.2">
      <c r="A396" s="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1:16" x14ac:dyDescent="0.2">
      <c r="A397" s="5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1:16" x14ac:dyDescent="0.2">
      <c r="A398" s="5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1:16" x14ac:dyDescent="0.2">
      <c r="A399" s="5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1:16" x14ac:dyDescent="0.2">
      <c r="A400" s="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1:16" x14ac:dyDescent="0.2">
      <c r="A401" s="5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1:16" x14ac:dyDescent="0.2">
      <c r="A402" s="5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1:16" x14ac:dyDescent="0.2">
      <c r="A403" s="5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1:16" x14ac:dyDescent="0.2">
      <c r="A404" s="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1:16" x14ac:dyDescent="0.2">
      <c r="A405" s="5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1:16" x14ac:dyDescent="0.2">
      <c r="A406" s="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1:16" x14ac:dyDescent="0.2">
      <c r="A407" s="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1:16" x14ac:dyDescent="0.2">
      <c r="A408" s="5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1:16" x14ac:dyDescent="0.2">
      <c r="A409" s="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1:16" x14ac:dyDescent="0.2">
      <c r="A410" s="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1:16" x14ac:dyDescent="0.2">
      <c r="A411" s="5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1:16" x14ac:dyDescent="0.2">
      <c r="A412" s="5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1:16" x14ac:dyDescent="0.2">
      <c r="A413" s="5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1:16" x14ac:dyDescent="0.2">
      <c r="A414" s="5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1:16" x14ac:dyDescent="0.2">
      <c r="A415" s="5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1:16" x14ac:dyDescent="0.2">
      <c r="A416" s="5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1:16" x14ac:dyDescent="0.2">
      <c r="A417" s="5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1:16" x14ac:dyDescent="0.2">
      <c r="A418" s="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1:16" x14ac:dyDescent="0.2">
      <c r="A419" s="5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1:16" x14ac:dyDescent="0.2">
      <c r="A420" s="5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1:16" x14ac:dyDescent="0.2">
      <c r="A421" s="5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1:16" x14ac:dyDescent="0.2">
      <c r="A422" s="5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1:16" x14ac:dyDescent="0.2">
      <c r="A423" s="5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1:16" x14ac:dyDescent="0.2">
      <c r="A424" s="5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1:16" x14ac:dyDescent="0.2">
      <c r="A425" s="5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1:16" x14ac:dyDescent="0.2">
      <c r="A426" s="5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1:16" x14ac:dyDescent="0.2">
      <c r="A427" s="5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1:16" x14ac:dyDescent="0.2">
      <c r="A428" s="5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1:16" x14ac:dyDescent="0.2">
      <c r="A429" s="5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1:16" x14ac:dyDescent="0.2">
      <c r="A430" s="5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1:16" x14ac:dyDescent="0.2">
      <c r="A431" s="5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1:16" x14ac:dyDescent="0.2">
      <c r="A432" s="5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1:16" x14ac:dyDescent="0.2">
      <c r="A433" s="5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1:16" x14ac:dyDescent="0.2">
      <c r="A434" s="5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1:16" x14ac:dyDescent="0.2">
      <c r="A435" s="5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1:16" x14ac:dyDescent="0.2">
      <c r="A436" s="5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1:16" x14ac:dyDescent="0.2">
      <c r="A437" s="5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1:16" x14ac:dyDescent="0.2">
      <c r="A438" s="5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1:16" x14ac:dyDescent="0.2">
      <c r="A439" s="5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1:16" x14ac:dyDescent="0.2">
      <c r="A440" s="5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1:16" x14ac:dyDescent="0.2">
      <c r="A441" s="5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1:16" x14ac:dyDescent="0.2">
      <c r="A442" s="5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1:16" x14ac:dyDescent="0.2">
      <c r="A443" s="5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1:16" x14ac:dyDescent="0.2">
      <c r="A444" s="5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1:16" x14ac:dyDescent="0.2">
      <c r="A445" s="5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1:16" x14ac:dyDescent="0.2">
      <c r="A446" s="5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1:16" x14ac:dyDescent="0.2">
      <c r="A447" s="5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1:16" x14ac:dyDescent="0.2">
      <c r="A448" s="5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1:16" x14ac:dyDescent="0.2">
      <c r="A449" s="5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1:16" x14ac:dyDescent="0.2">
      <c r="A450" s="5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1:16" x14ac:dyDescent="0.2">
      <c r="A451" s="5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1:16" x14ac:dyDescent="0.2">
      <c r="A452" s="5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1:16" x14ac:dyDescent="0.2">
      <c r="A453" s="5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1:16" x14ac:dyDescent="0.2">
      <c r="A454" s="5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1:16" x14ac:dyDescent="0.2">
      <c r="A455" s="5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1:16" x14ac:dyDescent="0.2">
      <c r="A456" s="5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1:16" x14ac:dyDescent="0.2">
      <c r="A457" s="5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1:16" x14ac:dyDescent="0.2">
      <c r="A458" s="5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1:16" x14ac:dyDescent="0.2">
      <c r="A459" s="5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1:16" x14ac:dyDescent="0.2">
      <c r="A460" s="5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1:16" x14ac:dyDescent="0.2">
      <c r="A461" s="5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1:16" x14ac:dyDescent="0.2">
      <c r="A462" s="5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1:16" x14ac:dyDescent="0.2">
      <c r="A463" s="5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1:16" x14ac:dyDescent="0.2">
      <c r="A464" s="5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1:16" x14ac:dyDescent="0.2">
      <c r="A465" s="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1:16" x14ac:dyDescent="0.2">
      <c r="A466" s="5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1:16" x14ac:dyDescent="0.2">
      <c r="A467" s="5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1:16" x14ac:dyDescent="0.2">
      <c r="A468" s="5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</sheetData>
  <printOptions horizontalCentered="1"/>
  <pageMargins left="0" right="0" top="0" bottom="0" header="0.25" footer="0.25"/>
  <pageSetup scale="40" orientation="landscape" r:id="rId1"/>
  <headerFooter>
    <oddFooter>&amp;RSchedule A-13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4BA9-2F83-47A3-AEFA-AC66C64E05A0}">
  <dimension ref="A1:Z66"/>
  <sheetViews>
    <sheetView showZeros="0" view="pageBreakPreview" topLeftCell="A25" zoomScaleNormal="50" zoomScaleSheetLayoutView="100" workbookViewId="0">
      <selection activeCell="J4" sqref="J4"/>
    </sheetView>
  </sheetViews>
  <sheetFormatPr defaultRowHeight="15" x14ac:dyDescent="0.2"/>
  <cols>
    <col min="1" max="1" width="18.5546875" style="59" customWidth="1"/>
    <col min="2" max="2" width="14.109375" customWidth="1"/>
    <col min="3" max="3" width="12.88671875" customWidth="1"/>
    <col min="4" max="4" width="14.88671875" customWidth="1"/>
    <col min="5" max="5" width="14.5546875" customWidth="1"/>
    <col min="6" max="6" width="16.77734375" bestFit="1" customWidth="1"/>
    <col min="7" max="7" width="19.77734375" bestFit="1" customWidth="1"/>
    <col min="8" max="8" width="16" customWidth="1"/>
    <col min="9" max="9" width="15" customWidth="1"/>
    <col min="10" max="10" width="19.5546875" customWidth="1"/>
    <col min="11" max="11" width="1.77734375" hidden="1" customWidth="1"/>
    <col min="12" max="12" width="1.6640625" customWidth="1"/>
    <col min="13" max="13" width="1.77734375" customWidth="1"/>
    <col min="14" max="14" width="2" customWidth="1"/>
    <col min="15" max="15" width="10.33203125" bestFit="1" customWidth="1"/>
    <col min="16" max="16" width="11.5546875" customWidth="1"/>
    <col min="17" max="17" width="9.6640625" customWidth="1"/>
    <col min="18" max="18" width="2.21875" customWidth="1"/>
    <col min="19" max="19" width="8.21875" customWidth="1"/>
    <col min="20" max="20" width="2.6640625" customWidth="1"/>
    <col min="21" max="21" width="10.21875" customWidth="1"/>
    <col min="22" max="22" width="2.33203125" customWidth="1"/>
    <col min="23" max="23" width="9.77734375" customWidth="1"/>
    <col min="24" max="24" width="2.77734375" customWidth="1"/>
    <col min="25" max="25" width="11" customWidth="1"/>
    <col min="26" max="26" width="2.6640625" customWidth="1"/>
  </cols>
  <sheetData>
    <row r="1" spans="1:26" s="1" customFormat="1" ht="40.5" x14ac:dyDescent="0.35">
      <c r="A1" s="235" t="s">
        <v>82</v>
      </c>
      <c r="B1" s="227"/>
      <c r="C1" s="227"/>
      <c r="D1" s="227"/>
      <c r="E1" s="227"/>
      <c r="F1" s="227"/>
      <c r="G1" s="227"/>
      <c r="H1" s="227"/>
      <c r="I1" s="227"/>
      <c r="J1" s="227"/>
      <c r="K1" s="22"/>
      <c r="L1" s="22"/>
      <c r="M1" s="22"/>
      <c r="P1" s="2"/>
      <c r="X1" s="27"/>
    </row>
    <row r="2" spans="1:26" s="1" customFormat="1" ht="20.25" x14ac:dyDescent="0.35">
      <c r="A2" s="200" t="s">
        <v>83</v>
      </c>
      <c r="B2" s="153"/>
      <c r="C2" s="153"/>
      <c r="D2" s="153"/>
      <c r="E2" s="153"/>
      <c r="F2" s="153"/>
      <c r="G2" s="153"/>
      <c r="H2" s="153"/>
      <c r="I2" s="153"/>
      <c r="J2" s="153"/>
      <c r="K2" s="22"/>
      <c r="L2" s="22"/>
      <c r="M2" s="22"/>
      <c r="P2" s="2"/>
      <c r="X2" s="27"/>
    </row>
    <row r="3" spans="1:26" s="1" customFormat="1" ht="40.5" x14ac:dyDescent="0.25">
      <c r="A3" s="236" t="s">
        <v>84</v>
      </c>
      <c r="B3" s="237"/>
      <c r="C3" s="237"/>
      <c r="D3" s="237"/>
      <c r="E3" s="237"/>
      <c r="F3" s="237"/>
      <c r="G3" s="237"/>
      <c r="H3" s="237"/>
      <c r="I3" s="237"/>
      <c r="J3" s="237"/>
      <c r="K3" s="63"/>
      <c r="L3" s="63"/>
      <c r="M3" s="63"/>
      <c r="N3" s="63"/>
      <c r="O3" s="63"/>
      <c r="P3" s="63"/>
      <c r="Q3" s="63"/>
      <c r="R3" s="63"/>
      <c r="S3" s="63"/>
      <c r="T3" s="4"/>
      <c r="U3" s="4"/>
      <c r="V3" s="4"/>
      <c r="W3" s="4"/>
      <c r="X3" s="4"/>
      <c r="Y3" s="4"/>
      <c r="Z3" s="4"/>
    </row>
    <row r="4" spans="1:26" s="1" customFormat="1" ht="121.5" x14ac:dyDescent="0.25">
      <c r="A4" s="236" t="s">
        <v>85</v>
      </c>
      <c r="B4" s="237"/>
      <c r="C4" s="237"/>
      <c r="D4" s="237"/>
      <c r="E4" s="237"/>
      <c r="F4" s="237"/>
      <c r="G4" s="237"/>
      <c r="H4" s="237"/>
      <c r="I4" s="237"/>
      <c r="J4" s="237"/>
      <c r="K4" s="63"/>
      <c r="L4" s="63"/>
      <c r="M4" s="63"/>
      <c r="N4" s="63"/>
      <c r="O4" s="63"/>
      <c r="P4" s="63"/>
      <c r="Q4" s="63"/>
      <c r="R4" s="63"/>
      <c r="S4" s="63"/>
      <c r="T4" s="4"/>
      <c r="U4" s="4"/>
      <c r="V4" s="4"/>
      <c r="W4" s="4"/>
      <c r="X4" s="4"/>
      <c r="Y4" s="4"/>
      <c r="Z4" s="4"/>
    </row>
    <row r="5" spans="1:26" s="1" customFormat="1" ht="182.25" x14ac:dyDescent="0.25">
      <c r="A5" s="236" t="s">
        <v>86</v>
      </c>
      <c r="B5" s="237"/>
      <c r="C5" s="237"/>
      <c r="D5" s="237"/>
      <c r="E5" s="237"/>
      <c r="F5" s="237"/>
      <c r="G5" s="237"/>
      <c r="H5" s="237"/>
      <c r="I5" s="237"/>
      <c r="J5" s="237"/>
      <c r="K5" s="63"/>
      <c r="L5" s="63"/>
      <c r="M5" s="63"/>
      <c r="N5" s="63"/>
      <c r="O5" s="63"/>
      <c r="P5" s="63"/>
      <c r="Q5" s="63"/>
      <c r="R5" s="63"/>
      <c r="S5" s="63"/>
      <c r="T5" s="4"/>
      <c r="U5" s="4"/>
      <c r="V5" s="4"/>
      <c r="W5" s="4"/>
      <c r="X5" s="4"/>
      <c r="Y5" s="4"/>
      <c r="Z5" s="4"/>
    </row>
    <row r="6" spans="1:26" s="25" customFormat="1" ht="69" x14ac:dyDescent="0.3">
      <c r="A6" s="242" t="s">
        <v>0</v>
      </c>
      <c r="B6" s="201" t="s">
        <v>151</v>
      </c>
      <c r="C6" s="224" t="s">
        <v>152</v>
      </c>
      <c r="D6" s="225" t="s">
        <v>153</v>
      </c>
      <c r="E6" s="225" t="s">
        <v>154</v>
      </c>
      <c r="F6" s="202" t="s">
        <v>155</v>
      </c>
      <c r="G6" s="224" t="s">
        <v>156</v>
      </c>
      <c r="H6" s="202" t="s">
        <v>299</v>
      </c>
      <c r="I6" s="203" t="s">
        <v>300</v>
      </c>
      <c r="J6" s="243" t="s">
        <v>301</v>
      </c>
      <c r="K6" s="24"/>
      <c r="L6" s="23"/>
      <c r="M6" s="23"/>
      <c r="N6" s="23"/>
      <c r="O6" s="24"/>
      <c r="P6" s="24"/>
      <c r="Q6" s="23"/>
      <c r="R6" s="23"/>
      <c r="S6" s="24"/>
      <c r="T6" s="24"/>
      <c r="U6" s="23"/>
      <c r="V6" s="23"/>
      <c r="W6" s="24"/>
      <c r="X6" s="24"/>
      <c r="Y6" s="23"/>
      <c r="Z6" s="23"/>
    </row>
    <row r="7" spans="1:26" ht="17.649999999999999" customHeight="1" x14ac:dyDescent="0.35">
      <c r="A7" s="122" t="s">
        <v>4</v>
      </c>
      <c r="B7" s="124">
        <v>48</v>
      </c>
      <c r="C7" s="174"/>
      <c r="D7" s="124">
        <v>1966</v>
      </c>
      <c r="E7" s="174"/>
      <c r="F7" s="124">
        <v>10</v>
      </c>
      <c r="G7" s="174"/>
      <c r="H7" s="124">
        <v>2024</v>
      </c>
      <c r="I7" s="174"/>
      <c r="J7" s="124">
        <v>40830</v>
      </c>
      <c r="K7" s="21"/>
      <c r="L7" s="21"/>
      <c r="M7" s="22"/>
      <c r="N7" s="21"/>
      <c r="O7" s="64"/>
      <c r="P7" s="21"/>
      <c r="Q7" s="21"/>
      <c r="R7" s="21"/>
      <c r="S7" s="64"/>
      <c r="T7" s="21"/>
      <c r="U7" s="21"/>
      <c r="V7" s="21"/>
      <c r="W7" s="21"/>
      <c r="X7" s="21"/>
      <c r="Y7" s="21"/>
      <c r="Z7" s="33"/>
    </row>
    <row r="8" spans="1:26" ht="17.649999999999999" customHeight="1" x14ac:dyDescent="0.35">
      <c r="A8" s="122" t="s">
        <v>5</v>
      </c>
      <c r="B8" s="124">
        <v>838</v>
      </c>
      <c r="C8" s="174"/>
      <c r="D8" s="124">
        <v>1746</v>
      </c>
      <c r="E8" s="174"/>
      <c r="F8" s="124">
        <v>10</v>
      </c>
      <c r="G8" s="174"/>
      <c r="H8" s="124">
        <v>2594</v>
      </c>
      <c r="I8" s="174"/>
      <c r="J8" s="124">
        <v>26009</v>
      </c>
      <c r="K8" s="21"/>
      <c r="L8" s="21"/>
      <c r="M8" s="22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33"/>
    </row>
    <row r="9" spans="1:26" ht="17.649999999999999" customHeight="1" x14ac:dyDescent="0.35">
      <c r="A9" s="122" t="s">
        <v>6</v>
      </c>
      <c r="B9" s="124">
        <v>885</v>
      </c>
      <c r="C9" s="174"/>
      <c r="D9" s="124">
        <v>1812</v>
      </c>
      <c r="E9" s="174"/>
      <c r="F9" s="124">
        <v>10</v>
      </c>
      <c r="G9" s="174"/>
      <c r="H9" s="124">
        <v>2707</v>
      </c>
      <c r="I9" s="174"/>
      <c r="J9" s="124">
        <v>50878</v>
      </c>
      <c r="K9" s="21"/>
      <c r="L9" s="21"/>
      <c r="M9" s="22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33"/>
    </row>
    <row r="10" spans="1:26" ht="17.649999999999999" customHeight="1" x14ac:dyDescent="0.35">
      <c r="A10" s="122" t="s">
        <v>7</v>
      </c>
      <c r="B10" s="124">
        <v>46</v>
      </c>
      <c r="C10" s="174"/>
      <c r="D10" s="124">
        <v>2012</v>
      </c>
      <c r="E10" s="174"/>
      <c r="F10" s="124">
        <v>10</v>
      </c>
      <c r="G10" s="174"/>
      <c r="H10" s="124">
        <v>2068</v>
      </c>
      <c r="I10" s="174"/>
      <c r="J10" s="124">
        <v>48944</v>
      </c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33"/>
    </row>
    <row r="11" spans="1:26" ht="17.649999999999999" customHeight="1" x14ac:dyDescent="0.35">
      <c r="A11" s="122" t="s">
        <v>8</v>
      </c>
      <c r="B11" s="124">
        <v>36</v>
      </c>
      <c r="C11" s="174"/>
      <c r="D11" s="124">
        <v>1954</v>
      </c>
      <c r="E11" s="174"/>
      <c r="F11" s="124">
        <v>10</v>
      </c>
      <c r="G11" s="174"/>
      <c r="H11" s="124">
        <v>2000</v>
      </c>
      <c r="I11" s="174"/>
      <c r="J11" s="124">
        <v>50622</v>
      </c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3"/>
    </row>
    <row r="12" spans="1:26" ht="17.649999999999999" customHeight="1" x14ac:dyDescent="0.35">
      <c r="A12" s="122" t="s">
        <v>9</v>
      </c>
      <c r="B12" s="124">
        <v>1997</v>
      </c>
      <c r="C12" s="174"/>
      <c r="D12" s="124">
        <v>1909</v>
      </c>
      <c r="E12" s="174"/>
      <c r="F12" s="124">
        <v>12</v>
      </c>
      <c r="G12" s="174"/>
      <c r="H12" s="124">
        <v>3918</v>
      </c>
      <c r="I12" s="174"/>
      <c r="J12" s="124">
        <v>48120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33"/>
    </row>
    <row r="13" spans="1:26" ht="17.649999999999999" customHeight="1" x14ac:dyDescent="0.35">
      <c r="A13" s="122" t="s">
        <v>10</v>
      </c>
      <c r="B13" s="124">
        <v>50</v>
      </c>
      <c r="C13" s="174"/>
      <c r="D13" s="124">
        <v>2067</v>
      </c>
      <c r="E13" s="174"/>
      <c r="F13" s="124">
        <v>24</v>
      </c>
      <c r="G13" s="174"/>
      <c r="H13" s="124">
        <v>2141</v>
      </c>
      <c r="I13" s="174"/>
      <c r="J13" s="124">
        <v>43125</v>
      </c>
      <c r="K13" s="21"/>
      <c r="L13" s="21"/>
      <c r="M13" s="22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33"/>
    </row>
    <row r="14" spans="1:26" ht="17.649999999999999" customHeight="1" x14ac:dyDescent="0.35">
      <c r="A14" s="122" t="s">
        <v>11</v>
      </c>
      <c r="B14" s="124">
        <v>39</v>
      </c>
      <c r="C14" s="174"/>
      <c r="D14" s="124">
        <v>2100</v>
      </c>
      <c r="E14" s="174"/>
      <c r="F14" s="124">
        <v>12</v>
      </c>
      <c r="G14" s="174"/>
      <c r="H14" s="124">
        <v>2151</v>
      </c>
      <c r="I14" s="174"/>
      <c r="J14" s="124">
        <v>38091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33"/>
    </row>
    <row r="15" spans="1:26" ht="17.649999999999999" customHeight="1" x14ac:dyDescent="0.35">
      <c r="A15" s="122" t="s">
        <v>12</v>
      </c>
      <c r="B15" s="124">
        <v>32</v>
      </c>
      <c r="C15" s="192"/>
      <c r="D15" s="124">
        <v>1846</v>
      </c>
      <c r="E15" s="192"/>
      <c r="F15" s="124">
        <v>7</v>
      </c>
      <c r="G15" s="192"/>
      <c r="H15" s="124">
        <v>1885</v>
      </c>
      <c r="I15" s="174"/>
      <c r="J15" s="124">
        <v>50828</v>
      </c>
      <c r="K15" s="21"/>
      <c r="L15" s="21"/>
      <c r="M15" s="22"/>
      <c r="N15" s="3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33"/>
    </row>
    <row r="16" spans="1:26" ht="17.649999999999999" customHeight="1" x14ac:dyDescent="0.35">
      <c r="A16" s="122" t="s">
        <v>13</v>
      </c>
      <c r="B16" s="124">
        <v>47</v>
      </c>
      <c r="C16" s="192"/>
      <c r="D16" s="124">
        <v>2413</v>
      </c>
      <c r="E16" s="192"/>
      <c r="F16" s="124">
        <v>11</v>
      </c>
      <c r="G16" s="192"/>
      <c r="H16" s="124">
        <v>2471</v>
      </c>
      <c r="I16" s="174"/>
      <c r="J16" s="124">
        <v>56417</v>
      </c>
      <c r="K16" s="21"/>
      <c r="L16" s="21"/>
      <c r="M16" s="22"/>
      <c r="N16" s="3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3"/>
    </row>
    <row r="17" spans="1:26" ht="17.649999999999999" customHeight="1" x14ac:dyDescent="0.35">
      <c r="A17" s="122" t="s">
        <v>14</v>
      </c>
      <c r="B17" s="124">
        <v>39</v>
      </c>
      <c r="C17" s="192"/>
      <c r="D17" s="124">
        <v>2027</v>
      </c>
      <c r="E17" s="192"/>
      <c r="F17" s="124">
        <v>5</v>
      </c>
      <c r="G17" s="192"/>
      <c r="H17" s="124">
        <v>2071</v>
      </c>
      <c r="I17" s="174"/>
      <c r="J17" s="124">
        <v>43350</v>
      </c>
      <c r="K17" s="21"/>
      <c r="L17" s="21"/>
      <c r="M17" s="22"/>
      <c r="N17" s="3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3"/>
    </row>
    <row r="18" spans="1:26" ht="17.649999999999999" customHeight="1" x14ac:dyDescent="0.35">
      <c r="A18" s="122" t="s">
        <v>15</v>
      </c>
      <c r="B18" s="124">
        <v>41</v>
      </c>
      <c r="C18" s="192"/>
      <c r="D18" s="124">
        <v>2488</v>
      </c>
      <c r="E18" s="192"/>
      <c r="F18" s="124">
        <v>8</v>
      </c>
      <c r="G18" s="192"/>
      <c r="H18" s="124">
        <v>2537</v>
      </c>
      <c r="I18" s="174"/>
      <c r="J18" s="124">
        <v>39726</v>
      </c>
      <c r="K18" s="21"/>
      <c r="L18" s="21"/>
      <c r="M18" s="22"/>
      <c r="N18" s="3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3"/>
    </row>
    <row r="19" spans="1:26" ht="17.649999999999999" customHeight="1" x14ac:dyDescent="0.35">
      <c r="A19" s="122" t="s">
        <v>16</v>
      </c>
      <c r="B19" s="124">
        <v>45</v>
      </c>
      <c r="C19" s="192"/>
      <c r="D19" s="124">
        <v>2110</v>
      </c>
      <c r="E19" s="192"/>
      <c r="F19" s="124">
        <v>9</v>
      </c>
      <c r="G19" s="192"/>
      <c r="H19" s="124">
        <v>2164</v>
      </c>
      <c r="I19" s="174"/>
      <c r="J19" s="124">
        <v>46561</v>
      </c>
      <c r="K19" s="21"/>
      <c r="L19" s="21"/>
      <c r="M19" s="22"/>
      <c r="N19" s="3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3"/>
    </row>
    <row r="20" spans="1:26" ht="17.649999999999999" customHeight="1" x14ac:dyDescent="0.35">
      <c r="A20" s="122" t="s">
        <v>17</v>
      </c>
      <c r="B20" s="124">
        <v>50</v>
      </c>
      <c r="C20" s="192"/>
      <c r="D20" s="124">
        <v>2416</v>
      </c>
      <c r="E20" s="192"/>
      <c r="F20" s="124">
        <v>13</v>
      </c>
      <c r="G20" s="192"/>
      <c r="H20" s="124">
        <v>2479</v>
      </c>
      <c r="I20" s="174"/>
      <c r="J20" s="124">
        <v>44178</v>
      </c>
      <c r="K20" s="21"/>
      <c r="L20" s="21"/>
      <c r="M20" s="22"/>
      <c r="N20" s="3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3"/>
    </row>
    <row r="21" spans="1:26" ht="17.649999999999999" customHeight="1" x14ac:dyDescent="0.35">
      <c r="A21" s="122" t="s">
        <v>18</v>
      </c>
      <c r="B21" s="124">
        <v>44</v>
      </c>
      <c r="C21" s="174"/>
      <c r="D21" s="124">
        <v>5453</v>
      </c>
      <c r="E21" s="174"/>
      <c r="F21" s="124">
        <v>7</v>
      </c>
      <c r="G21" s="174"/>
      <c r="H21" s="124">
        <v>5504</v>
      </c>
      <c r="I21" s="174"/>
      <c r="J21" s="124">
        <v>56037</v>
      </c>
      <c r="K21" s="21"/>
      <c r="L21" s="21"/>
      <c r="M21" s="22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3"/>
    </row>
    <row r="22" spans="1:26" ht="17.649999999999999" customHeight="1" x14ac:dyDescent="0.35">
      <c r="A22" s="122" t="s">
        <v>19</v>
      </c>
      <c r="B22" s="124">
        <v>54</v>
      </c>
      <c r="C22" s="174"/>
      <c r="D22" s="124">
        <v>2487</v>
      </c>
      <c r="E22" s="174"/>
      <c r="F22" s="124">
        <v>1</v>
      </c>
      <c r="G22" s="174"/>
      <c r="H22" s="124">
        <v>2542</v>
      </c>
      <c r="I22" s="174"/>
      <c r="J22" s="124">
        <v>65769</v>
      </c>
      <c r="K22" s="21"/>
      <c r="L22" s="21"/>
      <c r="M22" s="22"/>
      <c r="N22" s="65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33"/>
    </row>
    <row r="23" spans="1:26" ht="17.649999999999999" customHeight="1" x14ac:dyDescent="0.35">
      <c r="A23" s="122" t="s">
        <v>20</v>
      </c>
      <c r="B23" s="124">
        <v>52</v>
      </c>
      <c r="C23" s="174"/>
      <c r="D23" s="124">
        <v>2188</v>
      </c>
      <c r="E23" s="174"/>
      <c r="F23" s="124">
        <v>20</v>
      </c>
      <c r="G23" s="174"/>
      <c r="H23" s="124">
        <v>2260</v>
      </c>
      <c r="I23" s="174"/>
      <c r="J23" s="124">
        <v>36388</v>
      </c>
      <c r="K23" s="21"/>
      <c r="L23" s="21"/>
      <c r="M23" s="22"/>
      <c r="N23" s="65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3"/>
    </row>
    <row r="24" spans="1:26" ht="17.649999999999999" customHeight="1" x14ac:dyDescent="0.35">
      <c r="A24" s="122" t="s">
        <v>21</v>
      </c>
      <c r="B24" s="124">
        <v>37</v>
      </c>
      <c r="C24" s="174"/>
      <c r="D24" s="124">
        <v>2167</v>
      </c>
      <c r="E24" s="174"/>
      <c r="F24" s="124">
        <v>11</v>
      </c>
      <c r="G24" s="174"/>
      <c r="H24" s="124">
        <v>2215</v>
      </c>
      <c r="I24" s="174"/>
      <c r="J24" s="124">
        <v>57384</v>
      </c>
      <c r="K24" s="21"/>
      <c r="L24" s="21"/>
      <c r="M24" s="22"/>
      <c r="N24" s="66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3"/>
    </row>
    <row r="25" spans="1:26" ht="17.649999999999999" customHeight="1" x14ac:dyDescent="0.35">
      <c r="A25" s="122" t="s">
        <v>22</v>
      </c>
      <c r="B25" s="124">
        <v>63</v>
      </c>
      <c r="C25" s="238"/>
      <c r="D25" s="124">
        <v>2249</v>
      </c>
      <c r="E25" s="238"/>
      <c r="F25" s="124">
        <v>10</v>
      </c>
      <c r="G25" s="238"/>
      <c r="H25" s="124">
        <v>2322</v>
      </c>
      <c r="I25" s="239" t="s">
        <v>23</v>
      </c>
      <c r="J25" s="124">
        <v>56185.583932000001</v>
      </c>
      <c r="K25" s="67"/>
      <c r="L25" s="67"/>
      <c r="M25" s="68"/>
      <c r="N25" s="66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7.649999999999999" customHeight="1" x14ac:dyDescent="0.35">
      <c r="A26" s="122" t="s">
        <v>24</v>
      </c>
      <c r="B26" s="124">
        <v>49</v>
      </c>
      <c r="C26" s="239"/>
      <c r="D26" s="124">
        <v>2914</v>
      </c>
      <c r="E26" s="239"/>
      <c r="F26" s="124">
        <v>10</v>
      </c>
      <c r="G26" s="238"/>
      <c r="H26" s="124">
        <v>2973</v>
      </c>
      <c r="I26" s="239"/>
      <c r="J26" s="124">
        <v>73000.270163000008</v>
      </c>
      <c r="K26" s="67"/>
      <c r="L26" s="67"/>
      <c r="M26" s="68"/>
      <c r="N26" s="66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7.649999999999999" customHeight="1" x14ac:dyDescent="0.35">
      <c r="A27" s="122" t="s">
        <v>25</v>
      </c>
      <c r="B27" s="124">
        <v>56</v>
      </c>
      <c r="C27" s="240"/>
      <c r="D27" s="124">
        <v>1712</v>
      </c>
      <c r="E27" s="240"/>
      <c r="F27" s="124">
        <v>9</v>
      </c>
      <c r="G27" s="241"/>
      <c r="H27" s="124">
        <v>1777</v>
      </c>
      <c r="I27" s="241"/>
      <c r="J27" s="124">
        <v>63938.283020000003</v>
      </c>
      <c r="K27" s="67"/>
      <c r="L27" s="67"/>
      <c r="M27" s="68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3"/>
    </row>
    <row r="28" spans="1:26" ht="17.649999999999999" customHeight="1" x14ac:dyDescent="0.35">
      <c r="A28" s="122" t="s">
        <v>101</v>
      </c>
      <c r="B28" s="124">
        <v>46</v>
      </c>
      <c r="C28" s="240"/>
      <c r="D28" s="124">
        <v>2605</v>
      </c>
      <c r="E28" s="240"/>
      <c r="F28" s="124">
        <v>11</v>
      </c>
      <c r="G28" s="241"/>
      <c r="H28" s="124">
        <v>2662</v>
      </c>
      <c r="I28" s="241"/>
      <c r="J28" s="124">
        <v>58103.928896999998</v>
      </c>
      <c r="K28" s="67"/>
      <c r="L28" s="67"/>
      <c r="M28" s="68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3"/>
    </row>
    <row r="29" spans="1:26" ht="17.649999999999999" customHeight="1" x14ac:dyDescent="0.35">
      <c r="A29" s="122" t="s">
        <v>26</v>
      </c>
      <c r="B29" s="124">
        <v>58</v>
      </c>
      <c r="C29" s="241"/>
      <c r="D29" s="124">
        <v>2520</v>
      </c>
      <c r="E29" s="241"/>
      <c r="F29" s="124">
        <v>20</v>
      </c>
      <c r="G29" s="241"/>
      <c r="H29" s="124">
        <v>2598</v>
      </c>
      <c r="I29" s="241"/>
      <c r="J29" s="124">
        <v>59635.211764</v>
      </c>
      <c r="K29" s="67"/>
      <c r="L29" s="67"/>
      <c r="M29" s="68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33"/>
    </row>
    <row r="30" spans="1:26" ht="17.649999999999999" customHeight="1" x14ac:dyDescent="0.35">
      <c r="A30" s="122" t="s">
        <v>27</v>
      </c>
      <c r="B30" s="124">
        <v>63</v>
      </c>
      <c r="C30" s="241"/>
      <c r="D30" s="124">
        <v>2720</v>
      </c>
      <c r="E30" s="241"/>
      <c r="F30" s="127">
        <v>0</v>
      </c>
      <c r="G30" s="240" t="s">
        <v>23</v>
      </c>
      <c r="H30" s="124">
        <v>2783</v>
      </c>
      <c r="I30" s="241"/>
      <c r="J30" s="124">
        <v>65191.988825</v>
      </c>
      <c r="K30" s="67"/>
      <c r="L30" s="67"/>
      <c r="M30" s="68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33"/>
    </row>
    <row r="31" spans="1:26" ht="17.649999999999999" customHeight="1" x14ac:dyDescent="0.35">
      <c r="A31" s="122" t="s">
        <v>102</v>
      </c>
      <c r="B31" s="124">
        <v>20</v>
      </c>
      <c r="C31" s="241"/>
      <c r="D31" s="124">
        <v>2750</v>
      </c>
      <c r="E31" s="241"/>
      <c r="F31" s="124">
        <v>10</v>
      </c>
      <c r="G31" s="240"/>
      <c r="H31" s="124">
        <v>2780</v>
      </c>
      <c r="I31" s="241"/>
      <c r="J31" s="124">
        <v>59759.092008</v>
      </c>
      <c r="K31" s="21"/>
      <c r="L31" s="21"/>
      <c r="M31" s="22"/>
      <c r="N31" s="66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33"/>
    </row>
    <row r="32" spans="1:26" ht="17.649999999999999" customHeight="1" x14ac:dyDescent="0.35">
      <c r="A32" s="122" t="s">
        <v>103</v>
      </c>
      <c r="B32" s="124">
        <v>25</v>
      </c>
      <c r="C32" s="241"/>
      <c r="D32" s="124">
        <v>3047</v>
      </c>
      <c r="E32" s="241"/>
      <c r="F32" s="124">
        <v>10</v>
      </c>
      <c r="G32" s="241" t="s">
        <v>23</v>
      </c>
      <c r="H32" s="124">
        <v>3082</v>
      </c>
      <c r="I32" s="241"/>
      <c r="J32" s="124">
        <v>59210.690051999998</v>
      </c>
      <c r="K32" s="21"/>
      <c r="L32" s="21"/>
      <c r="M32" s="22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33"/>
    </row>
    <row r="33" spans="1:26" ht="17.649999999999999" customHeight="1" x14ac:dyDescent="0.35">
      <c r="A33" s="122" t="s">
        <v>104</v>
      </c>
      <c r="B33" s="124">
        <v>31</v>
      </c>
      <c r="C33" s="241"/>
      <c r="D33" s="124">
        <v>3121</v>
      </c>
      <c r="E33" s="241"/>
      <c r="F33" s="124">
        <v>10</v>
      </c>
      <c r="G33" s="241"/>
      <c r="H33" s="124">
        <v>3162</v>
      </c>
      <c r="I33" s="241"/>
      <c r="J33" s="124">
        <v>53959.670560000006</v>
      </c>
      <c r="K33" s="21"/>
      <c r="L33" s="21"/>
      <c r="M33" s="22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33"/>
    </row>
    <row r="34" spans="1:26" ht="17.649999999999999" customHeight="1" x14ac:dyDescent="0.35">
      <c r="A34" s="122" t="s">
        <v>28</v>
      </c>
      <c r="B34" s="124">
        <v>34</v>
      </c>
      <c r="C34" s="241"/>
      <c r="D34" s="124">
        <v>2083</v>
      </c>
      <c r="E34" s="241"/>
      <c r="F34" s="124">
        <v>10</v>
      </c>
      <c r="G34" s="241"/>
      <c r="H34" s="124">
        <v>2127</v>
      </c>
      <c r="I34" s="241"/>
      <c r="J34" s="124">
        <v>51211.818503999995</v>
      </c>
      <c r="K34" s="21"/>
      <c r="L34" s="21"/>
      <c r="M34" s="22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33"/>
    </row>
    <row r="35" spans="1:26" ht="17.649999999999999" customHeight="1" x14ac:dyDescent="0.35">
      <c r="A35" s="122" t="s">
        <v>29</v>
      </c>
      <c r="B35" s="124">
        <v>27</v>
      </c>
      <c r="C35" s="241"/>
      <c r="D35" s="124">
        <v>1773</v>
      </c>
      <c r="E35" s="241"/>
      <c r="F35" s="124">
        <v>10</v>
      </c>
      <c r="G35" s="241"/>
      <c r="H35" s="124">
        <v>1810</v>
      </c>
      <c r="I35" s="174"/>
      <c r="J35" s="124">
        <v>49577.611275000003</v>
      </c>
      <c r="K35" s="21"/>
      <c r="L35" s="21"/>
      <c r="M35" s="22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33"/>
    </row>
    <row r="36" spans="1:26" ht="17.649999999999999" customHeight="1" x14ac:dyDescent="0.35">
      <c r="A36" s="122" t="s">
        <v>30</v>
      </c>
      <c r="B36" s="124">
        <v>22</v>
      </c>
      <c r="C36" s="241"/>
      <c r="D36" s="124">
        <v>2447</v>
      </c>
      <c r="E36" s="241"/>
      <c r="F36" s="124">
        <v>10</v>
      </c>
      <c r="G36" s="241"/>
      <c r="H36" s="124">
        <v>2479</v>
      </c>
      <c r="I36" s="174"/>
      <c r="J36" s="124">
        <v>51623.431690000005</v>
      </c>
      <c r="K36" s="21"/>
      <c r="L36" s="21"/>
      <c r="M36" s="22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33"/>
    </row>
    <row r="37" spans="1:26" ht="17.649999999999999" customHeight="1" x14ac:dyDescent="0.35">
      <c r="A37" s="122" t="s">
        <v>31</v>
      </c>
      <c r="B37" s="124">
        <v>23</v>
      </c>
      <c r="C37" s="241"/>
      <c r="D37" s="124">
        <v>2522</v>
      </c>
      <c r="E37" s="241"/>
      <c r="F37" s="124">
        <v>10</v>
      </c>
      <c r="G37" s="241"/>
      <c r="H37" s="124">
        <v>2555</v>
      </c>
      <c r="I37" s="174"/>
      <c r="J37" s="124">
        <v>56525.30745</v>
      </c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3"/>
    </row>
    <row r="38" spans="1:26" ht="17.649999999999999" customHeight="1" x14ac:dyDescent="0.35">
      <c r="A38" s="122" t="s">
        <v>32</v>
      </c>
      <c r="B38" s="124">
        <v>19</v>
      </c>
      <c r="C38" s="241"/>
      <c r="D38" s="124">
        <v>1409</v>
      </c>
      <c r="E38" s="241"/>
      <c r="F38" s="124">
        <v>-32</v>
      </c>
      <c r="G38" s="241"/>
      <c r="H38" s="124">
        <v>1396</v>
      </c>
      <c r="I38" s="174"/>
      <c r="J38" s="124">
        <v>60302.607905999997</v>
      </c>
      <c r="K38" s="21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3"/>
    </row>
    <row r="39" spans="1:26" ht="17.649999999999999" customHeight="1" x14ac:dyDescent="0.35">
      <c r="A39" s="122" t="s">
        <v>33</v>
      </c>
      <c r="B39" s="124">
        <v>37</v>
      </c>
      <c r="C39" s="241"/>
      <c r="D39" s="124">
        <v>891</v>
      </c>
      <c r="E39" s="241"/>
      <c r="F39" s="124">
        <v>0</v>
      </c>
      <c r="G39" s="241"/>
      <c r="H39" s="124">
        <v>928</v>
      </c>
      <c r="I39" s="174"/>
      <c r="J39" s="124">
        <v>56231.628617999995</v>
      </c>
      <c r="K39" s="21"/>
      <c r="L39" s="21"/>
      <c r="M39" s="22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3"/>
    </row>
    <row r="40" spans="1:26" ht="17.649999999999999" customHeight="1" x14ac:dyDescent="0.35">
      <c r="A40" s="122" t="s">
        <v>34</v>
      </c>
      <c r="B40" s="124">
        <v>22</v>
      </c>
      <c r="C40" s="174"/>
      <c r="D40" s="124">
        <v>717</v>
      </c>
      <c r="E40" s="174"/>
      <c r="F40" s="124">
        <v>0</v>
      </c>
      <c r="G40" s="174"/>
      <c r="H40" s="124">
        <v>739</v>
      </c>
      <c r="I40" s="174"/>
      <c r="J40" s="124">
        <v>36075.020280000004</v>
      </c>
      <c r="K40" s="21"/>
      <c r="L40" s="21"/>
      <c r="M40" s="22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3"/>
    </row>
    <row r="41" spans="1:26" s="11" customFormat="1" ht="17.649999999999999" customHeight="1" x14ac:dyDescent="0.3">
      <c r="A41" s="122" t="s">
        <v>35</v>
      </c>
      <c r="B41" s="124">
        <v>16</v>
      </c>
      <c r="C41" s="124"/>
      <c r="D41" s="124">
        <v>831</v>
      </c>
      <c r="E41" s="124"/>
      <c r="F41" s="124">
        <v>0</v>
      </c>
      <c r="G41" s="124"/>
      <c r="H41" s="124">
        <v>847</v>
      </c>
      <c r="I41" s="124"/>
      <c r="J41" s="124">
        <v>32544.898827000001</v>
      </c>
      <c r="K41" s="8"/>
      <c r="L41" s="8"/>
      <c r="M41" s="14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</row>
    <row r="42" spans="1:26" s="11" customFormat="1" ht="17.649999999999999" customHeight="1" x14ac:dyDescent="0.3">
      <c r="A42" s="122" t="s">
        <v>36</v>
      </c>
      <c r="B42" s="124">
        <v>16</v>
      </c>
      <c r="C42" s="124"/>
      <c r="D42" s="124">
        <v>516</v>
      </c>
      <c r="E42" s="124"/>
      <c r="F42" s="124">
        <v>0</v>
      </c>
      <c r="G42" s="124"/>
      <c r="H42" s="124">
        <v>532</v>
      </c>
      <c r="I42" s="124"/>
      <c r="J42" s="124">
        <v>42446.976503999998</v>
      </c>
      <c r="K42" s="8"/>
      <c r="L42" s="8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</row>
    <row r="43" spans="1:26" s="11" customFormat="1" ht="17.649999999999999" customHeight="1" x14ac:dyDescent="0.3">
      <c r="A43" s="122" t="s">
        <v>37</v>
      </c>
      <c r="B43" s="124">
        <v>16</v>
      </c>
      <c r="C43" s="124"/>
      <c r="D43" s="124">
        <v>1496</v>
      </c>
      <c r="E43" s="124"/>
      <c r="F43" s="124">
        <v>0</v>
      </c>
      <c r="G43" s="124"/>
      <c r="H43" s="124">
        <v>1512</v>
      </c>
      <c r="I43" s="124"/>
      <c r="J43" s="124">
        <v>52197.296472000002</v>
      </c>
      <c r="K43" s="8"/>
      <c r="L43" s="8"/>
      <c r="M43" s="14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9"/>
    </row>
    <row r="44" spans="1:26" s="11" customFormat="1" ht="17.649999999999999" customHeight="1" x14ac:dyDescent="0.3">
      <c r="A44" s="122" t="s">
        <v>38</v>
      </c>
      <c r="B44" s="124">
        <v>20</v>
      </c>
      <c r="C44" s="124"/>
      <c r="D44" s="124">
        <v>1905</v>
      </c>
      <c r="E44" s="124"/>
      <c r="F44" s="124">
        <v>0</v>
      </c>
      <c r="G44" s="124"/>
      <c r="H44" s="124">
        <v>1925</v>
      </c>
      <c r="I44" s="124"/>
      <c r="J44" s="124">
        <v>50772.683299999997</v>
      </c>
      <c r="K44" s="8"/>
      <c r="L44" s="8"/>
      <c r="M44" s="14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9"/>
    </row>
    <row r="45" spans="1:26" s="11" customFormat="1" ht="17.649999999999999" customHeight="1" x14ac:dyDescent="0.3">
      <c r="A45" s="122" t="s">
        <v>39</v>
      </c>
      <c r="B45" s="124">
        <v>20</v>
      </c>
      <c r="C45" s="124"/>
      <c r="D45" s="124">
        <v>1911</v>
      </c>
      <c r="E45" s="124"/>
      <c r="F45" s="124">
        <v>0</v>
      </c>
      <c r="G45" s="124"/>
      <c r="H45" s="124">
        <v>1931</v>
      </c>
      <c r="I45" s="124"/>
      <c r="J45" s="124">
        <v>53109.987202999997</v>
      </c>
      <c r="K45" s="8"/>
      <c r="L45" s="8"/>
      <c r="M45" s="14"/>
      <c r="N45" s="8"/>
      <c r="O45" s="69"/>
      <c r="P45" s="8"/>
      <c r="Q45" s="8"/>
      <c r="R45" s="8"/>
      <c r="S45" s="8"/>
      <c r="T45" s="8"/>
      <c r="U45" s="8"/>
      <c r="V45" s="8"/>
      <c r="W45" s="8"/>
      <c r="X45" s="8"/>
      <c r="Y45" s="8"/>
      <c r="Z45" s="9"/>
    </row>
    <row r="46" spans="1:26" s="11" customFormat="1" ht="17.649999999999999" customHeight="1" x14ac:dyDescent="0.3">
      <c r="A46" s="122" t="s">
        <v>40</v>
      </c>
      <c r="B46" s="124">
        <v>15</v>
      </c>
      <c r="C46" s="124"/>
      <c r="D46" s="124">
        <v>870</v>
      </c>
      <c r="E46" s="124"/>
      <c r="F46" s="124">
        <v>0</v>
      </c>
      <c r="G46" s="124"/>
      <c r="H46" s="124">
        <v>885</v>
      </c>
      <c r="I46" s="124"/>
      <c r="J46" s="124">
        <v>53022.622492000002</v>
      </c>
      <c r="K46" s="8"/>
      <c r="L46" s="8"/>
      <c r="M46" s="14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9"/>
    </row>
    <row r="47" spans="1:26" s="11" customFormat="1" ht="17.649999999999999" customHeight="1" x14ac:dyDescent="0.3">
      <c r="A47" s="122" t="s">
        <v>41</v>
      </c>
      <c r="B47" s="124">
        <v>19</v>
      </c>
      <c r="C47" s="124"/>
      <c r="D47" s="124">
        <v>646</v>
      </c>
      <c r="E47" s="124"/>
      <c r="F47" s="124">
        <v>0</v>
      </c>
      <c r="G47" s="124"/>
      <c r="H47" s="124">
        <v>665</v>
      </c>
      <c r="I47" s="124"/>
      <c r="J47" s="124">
        <v>40922.428950000001</v>
      </c>
      <c r="K47" s="8"/>
      <c r="L47" s="8"/>
      <c r="M47" s="14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8" spans="1:26" s="11" customFormat="1" ht="17.649999999999999" customHeight="1" x14ac:dyDescent="0.3">
      <c r="A48" s="122" t="s">
        <v>42</v>
      </c>
      <c r="B48" s="124">
        <v>17.428571428571427</v>
      </c>
      <c r="C48" s="124"/>
      <c r="D48" s="124">
        <v>1167.8571428571429</v>
      </c>
      <c r="E48" s="124"/>
      <c r="F48" s="124">
        <v>0</v>
      </c>
      <c r="G48" s="124"/>
      <c r="H48" s="124">
        <v>1185.2857142857142</v>
      </c>
      <c r="I48" s="124"/>
      <c r="J48" s="124">
        <v>46430.984821142862</v>
      </c>
      <c r="K48" s="8"/>
      <c r="L48" s="8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9"/>
    </row>
    <row r="49" spans="1:26" s="11" customFormat="1" ht="17.649999999999999" customHeight="1" x14ac:dyDescent="0.3">
      <c r="A49" s="122" t="s">
        <v>43</v>
      </c>
      <c r="B49" s="124">
        <v>17.428571428571427</v>
      </c>
      <c r="C49" s="124">
        <v>17.024169000000001</v>
      </c>
      <c r="D49" s="124">
        <v>1167.8571428571429</v>
      </c>
      <c r="E49" s="124">
        <v>1140.758863</v>
      </c>
      <c r="F49" s="124">
        <v>0</v>
      </c>
      <c r="G49" s="124">
        <v>0</v>
      </c>
      <c r="H49" s="124">
        <v>1185.2857142857142</v>
      </c>
      <c r="I49" s="124">
        <v>1157.783032</v>
      </c>
      <c r="J49" s="124">
        <v>46430.984821142862</v>
      </c>
      <c r="K49" s="8"/>
      <c r="L49" s="8"/>
      <c r="M49" s="14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9"/>
    </row>
    <row r="50" spans="1:26" s="11" customFormat="1" ht="17.649999999999999" customHeight="1" x14ac:dyDescent="0.3">
      <c r="A50" s="122" t="s">
        <v>44</v>
      </c>
      <c r="B50" s="124">
        <v>17.428571428571427</v>
      </c>
      <c r="C50" s="124">
        <v>16.629149999999999</v>
      </c>
      <c r="D50" s="124">
        <v>1167.8571428571429</v>
      </c>
      <c r="E50" s="124">
        <v>1114.289356</v>
      </c>
      <c r="F50" s="124">
        <v>0</v>
      </c>
      <c r="G50" s="124">
        <v>0</v>
      </c>
      <c r="H50" s="124">
        <v>1185.2857142857142</v>
      </c>
      <c r="I50" s="124">
        <v>1130.918506</v>
      </c>
      <c r="J50" s="124">
        <v>46430.984821142862</v>
      </c>
      <c r="K50" s="8"/>
      <c r="L50" s="8"/>
      <c r="M50" s="14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</row>
    <row r="51" spans="1:26" s="11" customFormat="1" ht="17.649999999999999" customHeight="1" x14ac:dyDescent="0.3">
      <c r="A51" s="122" t="s">
        <v>45</v>
      </c>
      <c r="B51" s="124">
        <v>17.428571428571427</v>
      </c>
      <c r="C51" s="124">
        <v>16.243296999999998</v>
      </c>
      <c r="D51" s="124">
        <v>1167.8571428571429</v>
      </c>
      <c r="E51" s="124">
        <v>1088.4340319999999</v>
      </c>
      <c r="F51" s="124">
        <v>1</v>
      </c>
      <c r="G51" s="124">
        <v>0.93199200000000004</v>
      </c>
      <c r="H51" s="124">
        <v>1186.2857142857142</v>
      </c>
      <c r="I51" s="124">
        <v>1105.6093209999999</v>
      </c>
      <c r="J51" s="124">
        <v>46430.984821142862</v>
      </c>
      <c r="K51" s="8"/>
      <c r="L51" s="8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9"/>
    </row>
    <row r="52" spans="1:26" s="11" customFormat="1" ht="17.649999999999999" customHeight="1" x14ac:dyDescent="0.3">
      <c r="A52" s="122" t="s">
        <v>46</v>
      </c>
      <c r="B52" s="124">
        <v>17.428571428571427</v>
      </c>
      <c r="C52" s="124">
        <v>15.866396999999999</v>
      </c>
      <c r="D52" s="124">
        <v>1167.8571428571429</v>
      </c>
      <c r="E52" s="124">
        <v>1063.1786400000001</v>
      </c>
      <c r="F52" s="124">
        <v>1</v>
      </c>
      <c r="G52" s="124">
        <v>0.91036700000000004</v>
      </c>
      <c r="H52" s="124">
        <v>1186.2857142857142</v>
      </c>
      <c r="I52" s="124">
        <v>1079.955404</v>
      </c>
      <c r="J52" s="124">
        <v>46430.984821142862</v>
      </c>
      <c r="K52" s="8"/>
      <c r="L52" s="8"/>
      <c r="M52" s="14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9"/>
    </row>
    <row r="53" spans="1:26" s="11" customFormat="1" ht="17.649999999999999" customHeight="1" x14ac:dyDescent="0.3">
      <c r="A53" s="122" t="s">
        <v>47</v>
      </c>
      <c r="B53" s="124">
        <v>17.428571428571427</v>
      </c>
      <c r="C53" s="124">
        <v>15.498241999999999</v>
      </c>
      <c r="D53" s="124">
        <v>1167.8571428571429</v>
      </c>
      <c r="E53" s="124">
        <v>1038.50926</v>
      </c>
      <c r="F53" s="124">
        <v>1</v>
      </c>
      <c r="G53" s="124">
        <v>0.88924300000000001</v>
      </c>
      <c r="H53" s="124">
        <v>1186.2857142857142</v>
      </c>
      <c r="I53" s="124">
        <v>1054.896745</v>
      </c>
      <c r="J53" s="124">
        <v>46430.984821142862</v>
      </c>
      <c r="K53" s="8"/>
      <c r="L53" s="8"/>
      <c r="M53" s="14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9"/>
    </row>
    <row r="54" spans="1:26" s="11" customFormat="1" ht="17.649999999999999" customHeight="1" x14ac:dyDescent="0.3">
      <c r="A54" s="122" t="s">
        <v>48</v>
      </c>
      <c r="B54" s="124">
        <v>17.428571428571427</v>
      </c>
      <c r="C54" s="124">
        <v>15.138629999999999</v>
      </c>
      <c r="D54" s="124">
        <v>1167.8571428571429</v>
      </c>
      <c r="E54" s="124">
        <v>1014.412293</v>
      </c>
      <c r="F54" s="124">
        <v>1</v>
      </c>
      <c r="G54" s="124">
        <v>0.86860999999999999</v>
      </c>
      <c r="H54" s="124">
        <v>1186.2857142857142</v>
      </c>
      <c r="I54" s="124">
        <v>1030.419533</v>
      </c>
      <c r="J54" s="124">
        <v>46430.984821142862</v>
      </c>
      <c r="K54" s="8"/>
      <c r="L54" s="8"/>
      <c r="M54" s="14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</row>
    <row r="55" spans="1:26" s="11" customFormat="1" ht="17.649999999999999" customHeight="1" x14ac:dyDescent="0.3">
      <c r="A55" s="122" t="s">
        <v>49</v>
      </c>
      <c r="B55" s="124">
        <v>17.428571428571427</v>
      </c>
      <c r="C55" s="124">
        <v>14.787362</v>
      </c>
      <c r="D55" s="124">
        <v>1167.8571428571429</v>
      </c>
      <c r="E55" s="124">
        <v>990.874459</v>
      </c>
      <c r="F55" s="124">
        <v>1</v>
      </c>
      <c r="G55" s="124">
        <v>0.84845499999999996</v>
      </c>
      <c r="H55" s="124">
        <v>1186.2857142857142</v>
      </c>
      <c r="I55" s="124">
        <v>1006.510276</v>
      </c>
      <c r="J55" s="124">
        <v>46430.984821142862</v>
      </c>
      <c r="K55" s="8"/>
      <c r="L55" s="8"/>
      <c r="M55" s="14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</row>
    <row r="56" spans="1:26" s="11" customFormat="1" ht="17.649999999999999" customHeight="1" thickBot="1" x14ac:dyDescent="0.35">
      <c r="A56" s="122" t="s">
        <v>50</v>
      </c>
      <c r="B56" s="124">
        <v>17.428571428571427</v>
      </c>
      <c r="C56" s="124">
        <v>14.444245</v>
      </c>
      <c r="D56" s="124">
        <v>1167.8571428571429</v>
      </c>
      <c r="E56" s="124">
        <v>967.88278300000002</v>
      </c>
      <c r="F56" s="124">
        <v>1</v>
      </c>
      <c r="G56" s="124">
        <v>0.82876799999999995</v>
      </c>
      <c r="H56" s="124">
        <v>1186.2857142857142</v>
      </c>
      <c r="I56" s="124">
        <v>983.15579600000001</v>
      </c>
      <c r="J56" s="124">
        <v>46430.984821142862</v>
      </c>
      <c r="K56" s="8"/>
      <c r="L56" s="8"/>
      <c r="M56" s="14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9"/>
    </row>
    <row r="57" spans="1:26" s="11" customFormat="1" ht="17.649999999999999" customHeight="1" x14ac:dyDescent="0.3">
      <c r="A57" s="122" t="s">
        <v>51</v>
      </c>
      <c r="B57" s="133">
        <v>5253.857142857144</v>
      </c>
      <c r="C57" s="133">
        <v>125.63149200000001</v>
      </c>
      <c r="D57" s="133">
        <v>95326.714285714304</v>
      </c>
      <c r="E57" s="133">
        <v>8418.3396859999993</v>
      </c>
      <c r="F57" s="133">
        <v>294</v>
      </c>
      <c r="G57" s="133">
        <v>5.2774350000000005</v>
      </c>
      <c r="H57" s="133">
        <v>100874.57142857139</v>
      </c>
      <c r="I57" s="133">
        <v>8549.2486129999998</v>
      </c>
      <c r="J57" s="133">
        <v>2496684.902082284</v>
      </c>
      <c r="K57" s="8"/>
      <c r="L57" s="8"/>
      <c r="M57" s="14"/>
      <c r="N57" s="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9"/>
    </row>
    <row r="58" spans="1:26" s="11" customFormat="1" ht="17.649999999999999" customHeight="1" x14ac:dyDescent="0.3">
      <c r="A58" s="122" t="s">
        <v>72</v>
      </c>
      <c r="B58" s="124">
        <v>17.428571428571427</v>
      </c>
      <c r="C58" s="124"/>
      <c r="D58" s="124">
        <v>1167.8571428571429</v>
      </c>
      <c r="E58" s="124"/>
      <c r="F58" s="124">
        <v>1</v>
      </c>
      <c r="G58" s="124"/>
      <c r="H58" s="124">
        <v>1186.2857142857142</v>
      </c>
      <c r="I58" s="124"/>
      <c r="J58" s="124">
        <v>46430.984821142862</v>
      </c>
      <c r="K58" s="8"/>
      <c r="L58" s="8"/>
      <c r="M58" s="14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9"/>
    </row>
    <row r="59" spans="1:26" s="11" customFormat="1" ht="17.649999999999999" customHeight="1" x14ac:dyDescent="0.3">
      <c r="A59" s="122" t="s">
        <v>53</v>
      </c>
      <c r="B59" s="125">
        <v>139.42857142857142</v>
      </c>
      <c r="C59" s="125">
        <v>125.63149200000001</v>
      </c>
      <c r="D59" s="125">
        <v>9342.8571428571431</v>
      </c>
      <c r="E59" s="125">
        <v>8418.3396859999993</v>
      </c>
      <c r="F59" s="125">
        <v>6</v>
      </c>
      <c r="G59" s="125">
        <v>5.2774350000000005</v>
      </c>
      <c r="H59" s="125">
        <v>9488.2857142857119</v>
      </c>
      <c r="I59" s="125">
        <v>8549.2486129999998</v>
      </c>
      <c r="J59" s="125">
        <v>371447.87856914289</v>
      </c>
      <c r="K59" s="8"/>
      <c r="L59" s="8"/>
      <c r="M59" s="14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9"/>
    </row>
    <row r="60" spans="1:26" s="11" customFormat="1" ht="24.95" customHeigh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14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9"/>
    </row>
    <row r="61" spans="1:26" s="11" customFormat="1" ht="24.9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14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9"/>
    </row>
    <row r="62" spans="1:26" s="11" customFormat="1" ht="24.9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1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9"/>
    </row>
    <row r="63" spans="1:26" s="11" customFormat="1" ht="24.9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14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9"/>
    </row>
    <row r="64" spans="1:26" s="11" customFormat="1" ht="24.9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1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9"/>
    </row>
    <row r="65" ht="15" customHeight="1" x14ac:dyDescent="0.2"/>
    <row r="66" ht="15" customHeight="1" x14ac:dyDescent="0.2"/>
  </sheetData>
  <printOptions horizontalCentered="1"/>
  <pageMargins left="0" right="0" top="0" bottom="0" header="0.25" footer="0.25"/>
  <pageSetup scale="40" orientation="landscape" r:id="rId1"/>
  <headerFooter>
    <oddFooter>&amp;RSchedule A-13
Page &amp;P of &amp;N</oddFooter>
  </headerFooter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3BD3-9B5C-402F-AFE2-2F7056DCBDE0}">
  <sheetPr transitionEvaluation="1" transitionEntry="1"/>
  <dimension ref="A1:IF125"/>
  <sheetViews>
    <sheetView showZeros="0" defaultGridColor="0" view="pageBreakPreview" colorId="22" zoomScaleNormal="60" zoomScaleSheetLayoutView="100" workbookViewId="0">
      <selection activeCell="O6" sqref="O6"/>
    </sheetView>
  </sheetViews>
  <sheetFormatPr defaultColWidth="9.77734375" defaultRowHeight="15" x14ac:dyDescent="0.2"/>
  <cols>
    <col min="1" max="1" width="20.21875" style="18" customWidth="1"/>
    <col min="2" max="2" width="11" style="11" customWidth="1"/>
    <col min="3" max="3" width="10.109375" style="11" customWidth="1"/>
    <col min="4" max="4" width="9.77734375" style="11" customWidth="1"/>
    <col min="5" max="5" width="9.88671875" style="11" customWidth="1"/>
    <col min="6" max="6" width="10.21875" style="11" customWidth="1"/>
    <col min="7" max="7" width="9.6640625" style="11" customWidth="1"/>
    <col min="8" max="8" width="9.5546875" style="11" customWidth="1"/>
    <col min="9" max="9" width="10.109375" style="11" customWidth="1"/>
    <col min="10" max="10" width="9.77734375" style="11" customWidth="1"/>
    <col min="11" max="11" width="10.5546875" style="11" customWidth="1"/>
    <col min="12" max="12" width="10.88671875" style="11" customWidth="1"/>
    <col min="13" max="13" width="10.21875" style="11" customWidth="1"/>
    <col min="14" max="14" width="9.6640625" style="11" customWidth="1"/>
    <col min="15" max="15" width="10.44140625" style="11" customWidth="1"/>
    <col min="16" max="16" width="10.77734375" style="11" customWidth="1"/>
    <col min="17" max="17" width="11.5546875" style="11" customWidth="1"/>
    <col min="18" max="18" width="3.33203125" style="11" customWidth="1"/>
    <col min="19" max="16384" width="9.77734375" style="11"/>
  </cols>
  <sheetData>
    <row r="1" spans="1:240" s="1" customFormat="1" ht="40.5" x14ac:dyDescent="0.35">
      <c r="A1" s="244" t="str">
        <f>[2]INFORMATION!A1</f>
        <v>M&amp;I 2023 Sch A-13 F.Z25.XLSM</v>
      </c>
      <c r="B1" s="152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52"/>
      <c r="R1" s="22"/>
      <c r="S1" s="22"/>
      <c r="T1" s="22"/>
      <c r="U1" s="22"/>
    </row>
    <row r="2" spans="1:240" s="1" customFormat="1" ht="15.75" customHeight="1" x14ac:dyDescent="0.35">
      <c r="A2" s="119" t="str">
        <f>[2]INFORMATION!A2</f>
        <v>09/13/2022</v>
      </c>
      <c r="B2" s="152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52"/>
      <c r="R2" s="22"/>
      <c r="S2" s="22"/>
      <c r="T2" s="22"/>
      <c r="U2" s="22"/>
    </row>
    <row r="3" spans="1:240" s="1" customFormat="1" ht="40.5" x14ac:dyDescent="0.35">
      <c r="A3" s="146" t="str">
        <f>PAGE_1!A3</f>
        <v>CENTRAL VALLEY PROJECT</v>
      </c>
      <c r="B3" s="116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2"/>
      <c r="S3" s="22"/>
      <c r="T3" s="22"/>
      <c r="U3" s="22"/>
    </row>
    <row r="4" spans="1:240" s="1" customFormat="1" ht="101.25" x14ac:dyDescent="0.35">
      <c r="A4" s="146" t="str">
        <f>PAGE_1!A4</f>
        <v>SCHEDULE OF HISTORICAL (1981-2021) &amp; PROJECTED (2022-2030) M&amp;I WATER DELIVERIES</v>
      </c>
      <c r="B4" s="116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2"/>
      <c r="S4" s="22"/>
      <c r="T4" s="22"/>
      <c r="U4" s="22"/>
    </row>
    <row r="5" spans="1:240" s="1" customFormat="1" ht="160.9" customHeight="1" x14ac:dyDescent="0.35">
      <c r="A5" s="146" t="str">
        <f>PAGE_1!A5</f>
        <v xml:space="preserve">AND PRESENT WORTH @ .023755 FOR CALCULATION OF INDIVIDUAL CONTRACTOR PRORATED CONSTRUCTION COSTS AND RATE   </v>
      </c>
      <c r="B5" s="116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2"/>
      <c r="S5" s="22"/>
      <c r="T5" s="22"/>
      <c r="U5" s="22"/>
    </row>
    <row r="6" spans="1:240" s="25" customFormat="1" ht="86.25" x14ac:dyDescent="0.3">
      <c r="A6" s="246" t="s">
        <v>0</v>
      </c>
      <c r="B6" s="247" t="s">
        <v>157</v>
      </c>
      <c r="C6" s="248" t="s">
        <v>158</v>
      </c>
      <c r="D6" s="247" t="s">
        <v>159</v>
      </c>
      <c r="E6" s="248" t="s">
        <v>160</v>
      </c>
      <c r="F6" s="247" t="s">
        <v>161</v>
      </c>
      <c r="G6" s="248" t="s">
        <v>162</v>
      </c>
      <c r="H6" s="247" t="s">
        <v>163</v>
      </c>
      <c r="I6" s="248" t="s">
        <v>164</v>
      </c>
      <c r="J6" s="247" t="s">
        <v>165</v>
      </c>
      <c r="K6" s="248" t="s">
        <v>166</v>
      </c>
      <c r="L6" s="247" t="s">
        <v>167</v>
      </c>
      <c r="M6" s="248" t="s">
        <v>168</v>
      </c>
      <c r="N6" s="247" t="s">
        <v>302</v>
      </c>
      <c r="O6" s="248" t="s">
        <v>303</v>
      </c>
      <c r="P6" s="247" t="s">
        <v>169</v>
      </c>
      <c r="Q6" s="248" t="s">
        <v>170</v>
      </c>
      <c r="R6" s="23"/>
      <c r="S6" s="23"/>
      <c r="T6" s="23"/>
      <c r="U6" s="23"/>
    </row>
    <row r="7" spans="1:240" ht="15" customHeight="1" x14ac:dyDescent="0.35">
      <c r="A7" s="122" t="s">
        <v>4</v>
      </c>
      <c r="B7" s="124">
        <f>PAGE_2!N7</f>
        <v>60</v>
      </c>
      <c r="C7" s="124"/>
      <c r="D7" s="124">
        <f>PAGE_2!Q7</f>
        <v>1721</v>
      </c>
      <c r="E7" s="124"/>
      <c r="F7" s="124">
        <f>PAGE_2!AG7</f>
        <v>141094</v>
      </c>
      <c r="G7" s="124"/>
      <c r="H7" s="124">
        <f>PAGE_2!AJ7</f>
        <v>1283</v>
      </c>
      <c r="I7" s="124"/>
      <c r="J7" s="124">
        <f>PAGE_3!I7</f>
        <v>1607</v>
      </c>
      <c r="K7" s="124"/>
      <c r="L7" s="124">
        <f>PAGE_4!D7</f>
        <v>5914</v>
      </c>
      <c r="M7" s="124"/>
      <c r="N7" s="124">
        <f>PAGE_4!R7</f>
        <v>21689</v>
      </c>
      <c r="O7" s="124"/>
      <c r="P7" s="124">
        <f>PAGE_5!H7</f>
        <v>23637</v>
      </c>
      <c r="Q7" s="174"/>
      <c r="R7" s="22"/>
      <c r="S7" s="22"/>
      <c r="T7" s="22"/>
      <c r="U7" s="22"/>
      <c r="V7" s="1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ht="16.5" customHeight="1" x14ac:dyDescent="0.35">
      <c r="A8" s="122" t="s">
        <v>5</v>
      </c>
      <c r="B8" s="124">
        <f>PAGE_2!N8</f>
        <v>36</v>
      </c>
      <c r="C8" s="124"/>
      <c r="D8" s="124">
        <f>PAGE_2!Q8</f>
        <v>1557</v>
      </c>
      <c r="E8" s="124"/>
      <c r="F8" s="124">
        <f>PAGE_2!AG8</f>
        <v>98470</v>
      </c>
      <c r="G8" s="124"/>
      <c r="H8" s="124">
        <f>PAGE_2!AJ8</f>
        <v>1360</v>
      </c>
      <c r="I8" s="124"/>
      <c r="J8" s="124">
        <f>PAGE_3!I8</f>
        <v>407</v>
      </c>
      <c r="K8" s="124"/>
      <c r="L8" s="124">
        <f>PAGE_4!D8</f>
        <v>5872</v>
      </c>
      <c r="M8" s="124"/>
      <c r="N8" s="124">
        <f>PAGE_4!R8</f>
        <v>22407</v>
      </c>
      <c r="O8" s="124"/>
      <c r="P8" s="124">
        <f>PAGE_5!H8</f>
        <v>18706</v>
      </c>
      <c r="Q8" s="174"/>
      <c r="R8" s="22"/>
      <c r="S8" s="22"/>
      <c r="T8" s="22"/>
      <c r="U8" s="22"/>
      <c r="V8" s="1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40" ht="16.5" customHeight="1" x14ac:dyDescent="0.35">
      <c r="A9" s="122" t="s">
        <v>6</v>
      </c>
      <c r="B9" s="124">
        <f>PAGE_2!N9</f>
        <v>40</v>
      </c>
      <c r="C9" s="124"/>
      <c r="D9" s="124">
        <f>PAGE_2!Q9</f>
        <v>1642</v>
      </c>
      <c r="E9" s="124"/>
      <c r="F9" s="124">
        <f>PAGE_2!AG9</f>
        <v>131079</v>
      </c>
      <c r="G9" s="124"/>
      <c r="H9" s="124">
        <f>PAGE_2!AJ9</f>
        <v>1225</v>
      </c>
      <c r="I9" s="124"/>
      <c r="J9" s="124">
        <f>PAGE_3!I9</f>
        <v>1349</v>
      </c>
      <c r="K9" s="124"/>
      <c r="L9" s="124">
        <f>PAGE_4!D9</f>
        <v>5802</v>
      </c>
      <c r="M9" s="124"/>
      <c r="N9" s="124">
        <f>PAGE_4!R9</f>
        <v>23924</v>
      </c>
      <c r="O9" s="124"/>
      <c r="P9" s="124">
        <f>PAGE_5!H9</f>
        <v>20476</v>
      </c>
      <c r="Q9" s="174"/>
      <c r="R9" s="22"/>
      <c r="S9" s="22"/>
      <c r="T9" s="22"/>
      <c r="U9" s="22"/>
      <c r="V9" s="1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0" ht="16.5" customHeight="1" x14ac:dyDescent="0.35">
      <c r="A10" s="122" t="s">
        <v>7</v>
      </c>
      <c r="B10" s="124">
        <f>PAGE_2!N10</f>
        <v>40</v>
      </c>
      <c r="C10" s="124"/>
      <c r="D10" s="124">
        <f>PAGE_2!Q10</f>
        <v>1911</v>
      </c>
      <c r="E10" s="124"/>
      <c r="F10" s="124">
        <f>PAGE_2!AG10</f>
        <v>130995</v>
      </c>
      <c r="G10" s="124"/>
      <c r="H10" s="124">
        <f>PAGE_2!AJ10</f>
        <v>1358</v>
      </c>
      <c r="I10" s="124"/>
      <c r="J10" s="124">
        <f>PAGE_3!I10</f>
        <v>1354</v>
      </c>
      <c r="K10" s="124"/>
      <c r="L10" s="124">
        <f>PAGE_4!D10</f>
        <v>5700</v>
      </c>
      <c r="M10" s="124"/>
      <c r="N10" s="124">
        <f>PAGE_4!R10</f>
        <v>25410</v>
      </c>
      <c r="O10" s="124"/>
      <c r="P10" s="124">
        <f>PAGE_5!H10</f>
        <v>31081</v>
      </c>
      <c r="Q10" s="174"/>
      <c r="R10" s="22"/>
      <c r="S10" s="22"/>
      <c r="T10" s="22"/>
      <c r="U10" s="22"/>
      <c r="V10" s="1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40" ht="16.5" customHeight="1" x14ac:dyDescent="0.35">
      <c r="A11" s="122" t="s">
        <v>8</v>
      </c>
      <c r="B11" s="124">
        <f>PAGE_2!N11</f>
        <v>120</v>
      </c>
      <c r="C11" s="124"/>
      <c r="D11" s="124">
        <f>PAGE_2!Q11</f>
        <v>1942</v>
      </c>
      <c r="E11" s="124"/>
      <c r="F11" s="124">
        <f>PAGE_2!AG11</f>
        <v>132291</v>
      </c>
      <c r="G11" s="124"/>
      <c r="H11" s="124">
        <f>PAGE_2!AJ11</f>
        <v>1759</v>
      </c>
      <c r="I11" s="124"/>
      <c r="J11" s="124">
        <f>PAGE_3!I11</f>
        <v>593</v>
      </c>
      <c r="K11" s="124"/>
      <c r="L11" s="124">
        <f>PAGE_4!D11</f>
        <v>5951</v>
      </c>
      <c r="M11" s="124"/>
      <c r="N11" s="124">
        <f>PAGE_4!R11</f>
        <v>25860</v>
      </c>
      <c r="O11" s="124"/>
      <c r="P11" s="124">
        <f>PAGE_5!H11</f>
        <v>19779</v>
      </c>
      <c r="Q11" s="174"/>
      <c r="R11" s="22"/>
      <c r="S11" s="22"/>
      <c r="T11" s="22"/>
      <c r="U11" s="22"/>
      <c r="V11" s="1"/>
      <c r="W11" s="7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</row>
    <row r="12" spans="1:240" ht="16.5" customHeight="1" x14ac:dyDescent="0.35">
      <c r="A12" s="122" t="s">
        <v>9</v>
      </c>
      <c r="B12" s="124">
        <f>PAGE_2!N12</f>
        <v>80</v>
      </c>
      <c r="C12" s="124"/>
      <c r="D12" s="124">
        <f>PAGE_2!Q12</f>
        <v>2067</v>
      </c>
      <c r="E12" s="124"/>
      <c r="F12" s="124">
        <f>PAGE_2!AG12</f>
        <v>116230</v>
      </c>
      <c r="G12" s="124"/>
      <c r="H12" s="124">
        <f>PAGE_2!AJ12</f>
        <v>1747</v>
      </c>
      <c r="I12" s="124"/>
      <c r="J12" s="124">
        <f>PAGE_3!I12</f>
        <v>3</v>
      </c>
      <c r="K12" s="124"/>
      <c r="L12" s="124">
        <f>PAGE_4!D12</f>
        <v>5428</v>
      </c>
      <c r="M12" s="124"/>
      <c r="N12" s="124">
        <f>PAGE_4!R12</f>
        <v>30019</v>
      </c>
      <c r="O12" s="124"/>
      <c r="P12" s="124">
        <f>PAGE_5!H12</f>
        <v>19693</v>
      </c>
      <c r="Q12" s="174"/>
      <c r="R12" s="22"/>
      <c r="S12" s="22"/>
      <c r="T12" s="22"/>
      <c r="U12" s="22"/>
      <c r="V12" s="1"/>
      <c r="W12" s="7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</row>
    <row r="13" spans="1:240" ht="16.5" customHeight="1" x14ac:dyDescent="0.35">
      <c r="A13" s="122" t="s">
        <v>10</v>
      </c>
      <c r="B13" s="124">
        <f>PAGE_2!N13</f>
        <v>97</v>
      </c>
      <c r="C13" s="124"/>
      <c r="D13" s="124">
        <f>PAGE_2!Q13</f>
        <v>2078</v>
      </c>
      <c r="E13" s="124"/>
      <c r="F13" s="124">
        <f>PAGE_2!AG13</f>
        <v>142267</v>
      </c>
      <c r="G13" s="124"/>
      <c r="H13" s="124">
        <f>PAGE_2!AJ13</f>
        <v>2322</v>
      </c>
      <c r="I13" s="124"/>
      <c r="J13" s="124">
        <f>PAGE_3!I13</f>
        <v>2</v>
      </c>
      <c r="K13" s="124"/>
      <c r="L13" s="124">
        <f>PAGE_4!D13</f>
        <v>6542</v>
      </c>
      <c r="M13" s="124"/>
      <c r="N13" s="124">
        <f>PAGE_4!R13</f>
        <v>28990</v>
      </c>
      <c r="O13" s="124"/>
      <c r="P13" s="124">
        <f>PAGE_5!H13</f>
        <v>17646</v>
      </c>
      <c r="Q13" s="174"/>
      <c r="R13" s="22"/>
      <c r="S13" s="22"/>
      <c r="T13" s="22"/>
      <c r="U13" s="22"/>
      <c r="V13" s="1"/>
      <c r="W13" s="7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</row>
    <row r="14" spans="1:240" ht="15.75" customHeight="1" x14ac:dyDescent="0.35">
      <c r="A14" s="122" t="s">
        <v>11</v>
      </c>
      <c r="B14" s="124">
        <f>PAGE_2!N14</f>
        <v>136</v>
      </c>
      <c r="C14" s="124"/>
      <c r="D14" s="124">
        <f>PAGE_2!Q14</f>
        <v>2096</v>
      </c>
      <c r="E14" s="124"/>
      <c r="F14" s="124">
        <f>PAGE_2!AG14</f>
        <v>126059</v>
      </c>
      <c r="G14" s="124"/>
      <c r="H14" s="124">
        <f>PAGE_2!AJ14</f>
        <v>2296</v>
      </c>
      <c r="I14" s="124"/>
      <c r="J14" s="124">
        <f>PAGE_3!I14</f>
        <v>4</v>
      </c>
      <c r="K14" s="124"/>
      <c r="L14" s="124">
        <f>PAGE_4!D14</f>
        <v>8122</v>
      </c>
      <c r="M14" s="124"/>
      <c r="N14" s="124">
        <f>PAGE_4!R14</f>
        <v>34124</v>
      </c>
      <c r="O14" s="124"/>
      <c r="P14" s="124">
        <f>PAGE_5!H14</f>
        <v>36658</v>
      </c>
      <c r="Q14" s="174"/>
      <c r="R14" s="22"/>
      <c r="S14" s="22"/>
      <c r="T14" s="22"/>
      <c r="U14" s="22"/>
      <c r="V14" s="1"/>
      <c r="W14" s="7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</row>
    <row r="15" spans="1:240" ht="16.5" customHeight="1" x14ac:dyDescent="0.35">
      <c r="A15" s="122" t="s">
        <v>12</v>
      </c>
      <c r="B15" s="124">
        <f>PAGE_2!N15</f>
        <v>239</v>
      </c>
      <c r="C15" s="124"/>
      <c r="D15" s="124">
        <f>PAGE_2!Q15</f>
        <v>1777</v>
      </c>
      <c r="E15" s="124"/>
      <c r="F15" s="124">
        <f>PAGE_2!AG15</f>
        <v>164612</v>
      </c>
      <c r="G15" s="124"/>
      <c r="H15" s="124">
        <f>PAGE_2!AJ15</f>
        <v>2888</v>
      </c>
      <c r="I15" s="124"/>
      <c r="J15" s="124">
        <f>PAGE_3!I15</f>
        <v>3</v>
      </c>
      <c r="K15" s="124"/>
      <c r="L15" s="124">
        <f>PAGE_4!D15</f>
        <v>4131</v>
      </c>
      <c r="M15" s="124"/>
      <c r="N15" s="124">
        <f>PAGE_4!R15</f>
        <v>28607</v>
      </c>
      <c r="O15" s="124"/>
      <c r="P15" s="124">
        <f>PAGE_5!H15</f>
        <v>27283</v>
      </c>
      <c r="Q15" s="174"/>
      <c r="R15" s="22"/>
      <c r="S15" s="22"/>
      <c r="T15" s="22"/>
      <c r="U15" s="22"/>
      <c r="V15" s="1"/>
      <c r="W15" s="7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</row>
    <row r="16" spans="1:240" ht="17.649999999999999" customHeight="1" x14ac:dyDescent="0.35">
      <c r="A16" s="122" t="s">
        <v>13</v>
      </c>
      <c r="B16" s="124">
        <f>PAGE_2!N16</f>
        <v>122</v>
      </c>
      <c r="C16" s="124"/>
      <c r="D16" s="124">
        <f>PAGE_2!Q16</f>
        <v>1451</v>
      </c>
      <c r="E16" s="124"/>
      <c r="F16" s="124">
        <f>PAGE_2!AG16</f>
        <v>186679</v>
      </c>
      <c r="G16" s="124"/>
      <c r="H16" s="124">
        <f>PAGE_2!AJ16</f>
        <v>3593</v>
      </c>
      <c r="I16" s="124"/>
      <c r="J16" s="124">
        <f>PAGE_3!I16</f>
        <v>459</v>
      </c>
      <c r="K16" s="124"/>
      <c r="L16" s="124">
        <f>PAGE_4!D16</f>
        <v>5531</v>
      </c>
      <c r="M16" s="124"/>
      <c r="N16" s="124">
        <f>PAGE_4!R16</f>
        <v>27454</v>
      </c>
      <c r="O16" s="124"/>
      <c r="P16" s="124">
        <f>PAGE_5!H16</f>
        <v>20829</v>
      </c>
      <c r="Q16" s="174"/>
      <c r="R16" s="22"/>
      <c r="S16" s="22"/>
      <c r="T16" s="22"/>
      <c r="U16" s="22"/>
      <c r="V16" s="1"/>
      <c r="W16" s="7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</row>
    <row r="17" spans="1:240" ht="17.649999999999999" customHeight="1" x14ac:dyDescent="0.35">
      <c r="A17" s="122" t="s">
        <v>14</v>
      </c>
      <c r="B17" s="124">
        <f>PAGE_2!N17</f>
        <v>-33</v>
      </c>
      <c r="C17" s="124"/>
      <c r="D17" s="124">
        <f>PAGE_2!Q17</f>
        <v>659</v>
      </c>
      <c r="E17" s="124"/>
      <c r="F17" s="124">
        <f>PAGE_2!AG17</f>
        <v>153363</v>
      </c>
      <c r="G17" s="124"/>
      <c r="H17" s="124">
        <f>PAGE_2!AJ17</f>
        <v>2008</v>
      </c>
      <c r="I17" s="124"/>
      <c r="J17" s="124">
        <f>PAGE_3!I17</f>
        <v>407</v>
      </c>
      <c r="K17" s="124"/>
      <c r="L17" s="124">
        <f>PAGE_4!D17</f>
        <v>5586</v>
      </c>
      <c r="M17" s="124"/>
      <c r="N17" s="124">
        <f>PAGE_4!R17</f>
        <v>40743</v>
      </c>
      <c r="O17" s="124"/>
      <c r="P17" s="124">
        <f>PAGE_5!H17</f>
        <v>25475</v>
      </c>
      <c r="Q17" s="174"/>
      <c r="R17" s="22"/>
      <c r="S17" s="22"/>
      <c r="T17" s="22"/>
      <c r="U17" s="22"/>
      <c r="V17" s="1"/>
      <c r="W17" s="7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</row>
    <row r="18" spans="1:240" ht="16.5" customHeight="1" x14ac:dyDescent="0.35">
      <c r="A18" s="122" t="s">
        <v>15</v>
      </c>
      <c r="B18" s="124">
        <f>PAGE_2!N18</f>
        <v>70</v>
      </c>
      <c r="C18" s="124"/>
      <c r="D18" s="124">
        <f>PAGE_2!Q18</f>
        <v>2460</v>
      </c>
      <c r="E18" s="124"/>
      <c r="F18" s="124">
        <f>PAGE_2!AG18</f>
        <v>109576</v>
      </c>
      <c r="G18" s="124"/>
      <c r="H18" s="124">
        <f>PAGE_2!AJ18</f>
        <v>3322</v>
      </c>
      <c r="I18" s="124"/>
      <c r="J18" s="124">
        <f>PAGE_3!I18</f>
        <v>297</v>
      </c>
      <c r="K18" s="124"/>
      <c r="L18" s="124">
        <f>PAGE_4!D18</f>
        <v>7221</v>
      </c>
      <c r="M18" s="124"/>
      <c r="N18" s="124">
        <f>PAGE_4!R18</f>
        <v>23360</v>
      </c>
      <c r="O18" s="124"/>
      <c r="P18" s="124">
        <f>PAGE_5!H18</f>
        <v>32939</v>
      </c>
      <c r="Q18" s="174"/>
      <c r="R18" s="22"/>
      <c r="S18" s="22"/>
      <c r="T18" s="22"/>
      <c r="U18" s="22"/>
      <c r="V18" s="1"/>
      <c r="W18" s="7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0" ht="17.649999999999999" customHeight="1" x14ac:dyDescent="0.35">
      <c r="A19" s="122" t="s">
        <v>16</v>
      </c>
      <c r="B19" s="124">
        <f>PAGE_2!N19</f>
        <v>47</v>
      </c>
      <c r="C19" s="124"/>
      <c r="D19" s="124">
        <f>PAGE_2!Q19</f>
        <v>2076</v>
      </c>
      <c r="E19" s="124"/>
      <c r="F19" s="124">
        <f>PAGE_2!AG19</f>
        <v>93267</v>
      </c>
      <c r="G19" s="124"/>
      <c r="H19" s="124">
        <f>PAGE_2!AJ19</f>
        <v>5539</v>
      </c>
      <c r="I19" s="124"/>
      <c r="J19" s="124">
        <f>PAGE_3!I19</f>
        <v>0</v>
      </c>
      <c r="K19" s="124"/>
      <c r="L19" s="124">
        <f>PAGE_4!D19</f>
        <v>8005</v>
      </c>
      <c r="M19" s="124"/>
      <c r="N19" s="124">
        <f>PAGE_4!R19</f>
        <v>20895</v>
      </c>
      <c r="O19" s="124"/>
      <c r="P19" s="124">
        <f>PAGE_5!H19</f>
        <v>34173</v>
      </c>
      <c r="Q19" s="174"/>
      <c r="R19" s="22"/>
      <c r="S19" s="22"/>
      <c r="T19" s="22"/>
      <c r="U19" s="22"/>
      <c r="V19" s="1"/>
      <c r="W19" s="7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pans="1:240" ht="17.649999999999999" customHeight="1" x14ac:dyDescent="0.35">
      <c r="A20" s="122" t="s">
        <v>17</v>
      </c>
      <c r="B20" s="124">
        <f>PAGE_2!N20</f>
        <v>85</v>
      </c>
      <c r="C20" s="124"/>
      <c r="D20" s="124">
        <f>PAGE_2!Q20</f>
        <v>2329</v>
      </c>
      <c r="E20" s="124"/>
      <c r="F20" s="124">
        <f>PAGE_2!AG20</f>
        <v>134903</v>
      </c>
      <c r="G20" s="124"/>
      <c r="H20" s="124">
        <f>PAGE_2!AJ20</f>
        <v>6801</v>
      </c>
      <c r="I20" s="124"/>
      <c r="J20" s="124">
        <f>PAGE_3!I20</f>
        <v>0</v>
      </c>
      <c r="K20" s="124"/>
      <c r="L20" s="124">
        <f>PAGE_4!D20</f>
        <v>7843</v>
      </c>
      <c r="M20" s="124"/>
      <c r="N20" s="124">
        <f>PAGE_4!R20</f>
        <v>30693</v>
      </c>
      <c r="O20" s="124"/>
      <c r="P20" s="124">
        <f>PAGE_5!H20</f>
        <v>47977</v>
      </c>
      <c r="Q20" s="174"/>
      <c r="R20" s="22"/>
      <c r="S20" s="22"/>
      <c r="T20" s="22"/>
      <c r="U20" s="22"/>
      <c r="V20" s="1"/>
      <c r="W20" s="7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</row>
    <row r="21" spans="1:240" ht="17.649999999999999" customHeight="1" x14ac:dyDescent="0.35">
      <c r="A21" s="122" t="s">
        <v>18</v>
      </c>
      <c r="B21" s="124">
        <f>PAGE_2!N21</f>
        <v>80</v>
      </c>
      <c r="C21" s="124"/>
      <c r="D21" s="124">
        <f>PAGE_2!Q21</f>
        <v>1265</v>
      </c>
      <c r="E21" s="124"/>
      <c r="F21" s="124">
        <f>PAGE_2!AG21</f>
        <v>100593</v>
      </c>
      <c r="G21" s="124"/>
      <c r="H21" s="124">
        <f>PAGE_2!AJ21</f>
        <v>3028</v>
      </c>
      <c r="I21" s="124"/>
      <c r="J21" s="124">
        <f>PAGE_3!I21</f>
        <v>0</v>
      </c>
      <c r="K21" s="124"/>
      <c r="L21" s="124">
        <f>PAGE_4!D21</f>
        <v>7963</v>
      </c>
      <c r="M21" s="124"/>
      <c r="N21" s="124">
        <f>PAGE_4!R21</f>
        <v>40357</v>
      </c>
      <c r="O21" s="124"/>
      <c r="P21" s="124">
        <f>PAGE_5!H21</f>
        <v>13593</v>
      </c>
      <c r="Q21" s="174"/>
      <c r="R21" s="22"/>
      <c r="S21" s="22"/>
      <c r="T21" s="22"/>
      <c r="U21" s="22"/>
      <c r="V21" s="1"/>
      <c r="W21" s="7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</row>
    <row r="22" spans="1:240" ht="17.649999999999999" customHeight="1" x14ac:dyDescent="0.35">
      <c r="A22" s="122" t="s">
        <v>19</v>
      </c>
      <c r="B22" s="124">
        <f>PAGE_2!N22</f>
        <v>40</v>
      </c>
      <c r="C22" s="124"/>
      <c r="D22" s="124">
        <f>PAGE_2!Q22</f>
        <v>1137</v>
      </c>
      <c r="E22" s="124"/>
      <c r="F22" s="124">
        <f>PAGE_2!AG22</f>
        <v>104924</v>
      </c>
      <c r="G22" s="124"/>
      <c r="H22" s="124">
        <f>PAGE_2!AJ22</f>
        <v>5521</v>
      </c>
      <c r="I22" s="124"/>
      <c r="J22" s="124">
        <f>PAGE_3!I22</f>
        <v>0</v>
      </c>
      <c r="K22" s="124"/>
      <c r="L22" s="124">
        <f>PAGE_4!D22</f>
        <v>11410</v>
      </c>
      <c r="M22" s="124"/>
      <c r="N22" s="124">
        <f>PAGE_4!R22</f>
        <v>49407</v>
      </c>
      <c r="O22" s="124"/>
      <c r="P22" s="124">
        <f>PAGE_5!H22</f>
        <v>58228</v>
      </c>
      <c r="Q22" s="174"/>
      <c r="R22" s="22"/>
      <c r="S22" s="22"/>
      <c r="T22" s="22"/>
      <c r="U22" s="22"/>
      <c r="V22" s="1"/>
      <c r="W22" s="7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</row>
    <row r="23" spans="1:240" ht="17.649999999999999" customHeight="1" x14ac:dyDescent="0.35">
      <c r="A23" s="122" t="s">
        <v>20</v>
      </c>
      <c r="B23" s="124">
        <f>PAGE_2!N23</f>
        <v>116</v>
      </c>
      <c r="C23" s="124"/>
      <c r="D23" s="124">
        <f>PAGE_2!Q23</f>
        <v>1812</v>
      </c>
      <c r="E23" s="124"/>
      <c r="F23" s="124">
        <f>PAGE_2!AG23</f>
        <v>113378</v>
      </c>
      <c r="G23" s="124"/>
      <c r="H23" s="124">
        <f>PAGE_2!AJ23</f>
        <v>5620</v>
      </c>
      <c r="I23" s="124"/>
      <c r="J23" s="124">
        <f>PAGE_3!I23</f>
        <v>0</v>
      </c>
      <c r="K23" s="124"/>
      <c r="L23" s="124">
        <f>PAGE_4!D23</f>
        <v>11625</v>
      </c>
      <c r="M23" s="124"/>
      <c r="N23" s="124">
        <f>PAGE_4!R23</f>
        <v>53472</v>
      </c>
      <c r="O23" s="124"/>
      <c r="P23" s="124">
        <f>PAGE_5!H23</f>
        <v>61849</v>
      </c>
      <c r="Q23" s="174"/>
      <c r="R23" s="22"/>
      <c r="S23" s="33"/>
      <c r="T23" s="22"/>
      <c r="U23" s="22"/>
      <c r="V23" s="1"/>
      <c r="W23" s="7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</row>
    <row r="24" spans="1:240" ht="17.649999999999999" customHeight="1" x14ac:dyDescent="0.35">
      <c r="A24" s="122" t="s">
        <v>21</v>
      </c>
      <c r="B24" s="124">
        <f>PAGE_2!N24</f>
        <v>150</v>
      </c>
      <c r="C24" s="124"/>
      <c r="D24" s="124">
        <f>PAGE_2!Q24</f>
        <v>1454</v>
      </c>
      <c r="E24" s="124"/>
      <c r="F24" s="124">
        <f>PAGE_2!AG24</f>
        <v>128980</v>
      </c>
      <c r="G24" s="124"/>
      <c r="H24" s="124">
        <f>PAGE_2!AJ24</f>
        <v>3646</v>
      </c>
      <c r="I24" s="124"/>
      <c r="J24" s="124">
        <f>PAGE_3!I24</f>
        <v>0</v>
      </c>
      <c r="K24" s="124"/>
      <c r="L24" s="124">
        <f>PAGE_4!D24</f>
        <v>7654</v>
      </c>
      <c r="M24" s="124"/>
      <c r="N24" s="124">
        <f>PAGE_4!R24</f>
        <v>38266</v>
      </c>
      <c r="O24" s="124"/>
      <c r="P24" s="124">
        <f>PAGE_5!H24</f>
        <v>81556</v>
      </c>
      <c r="Q24" s="174"/>
      <c r="R24" s="21"/>
      <c r="S24" s="33"/>
      <c r="T24" s="21"/>
      <c r="U24" s="21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</row>
    <row r="25" spans="1:240" ht="17.649999999999999" customHeight="1" x14ac:dyDescent="0.35">
      <c r="A25" s="122" t="s">
        <v>22</v>
      </c>
      <c r="B25" s="125">
        <f>PAGE_2!N25</f>
        <v>77</v>
      </c>
      <c r="C25" s="125" t="str">
        <f>PAGE_2!O25</f>
        <v xml:space="preserve"> </v>
      </c>
      <c r="D25" s="125">
        <f>PAGE_2!Q25</f>
        <v>1475</v>
      </c>
      <c r="E25" s="124"/>
      <c r="F25" s="124">
        <f>PAGE_2!AG25</f>
        <v>92392</v>
      </c>
      <c r="G25" s="125" t="str">
        <f>PAGE_2!AH25</f>
        <v xml:space="preserve"> </v>
      </c>
      <c r="H25" s="125">
        <f>PAGE_2!AJ25</f>
        <v>5216</v>
      </c>
      <c r="I25" s="125" t="str">
        <f>PAGE_2!AK25</f>
        <v xml:space="preserve"> </v>
      </c>
      <c r="J25" s="124">
        <f>PAGE_3!I25</f>
        <v>0</v>
      </c>
      <c r="K25" s="124"/>
      <c r="L25" s="125">
        <f>PAGE_4!D25</f>
        <v>7557</v>
      </c>
      <c r="M25" s="124"/>
      <c r="N25" s="125">
        <f>PAGE_4!R25</f>
        <v>45278</v>
      </c>
      <c r="O25" s="124"/>
      <c r="P25" s="124">
        <f>PAGE_5!H25</f>
        <v>91062</v>
      </c>
      <c r="Q25" s="186" t="str">
        <f>PAGE_5!I25</f>
        <v xml:space="preserve"> </v>
      </c>
      <c r="R25" s="21"/>
      <c r="S25" s="33"/>
      <c r="T25" s="33"/>
      <c r="U25" s="21"/>
      <c r="V25" s="53"/>
      <c r="W25" s="53"/>
      <c r="X25" s="53"/>
      <c r="Y25" s="53"/>
      <c r="Z25" s="53"/>
      <c r="AA25" s="53"/>
      <c r="AB25" s="53"/>
      <c r="AC25" s="53"/>
      <c r="AD25" s="10"/>
      <c r="AE25" s="10"/>
      <c r="AF25" s="53"/>
      <c r="AG25" s="53"/>
      <c r="AH25" s="53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</row>
    <row r="26" spans="1:240" ht="17.649999999999999" customHeight="1" x14ac:dyDescent="0.35">
      <c r="A26" s="122" t="s">
        <v>24</v>
      </c>
      <c r="B26" s="124">
        <f>PAGE_2!N26</f>
        <v>80</v>
      </c>
      <c r="C26" s="124"/>
      <c r="D26" s="124">
        <f>PAGE_2!Q26</f>
        <v>1912</v>
      </c>
      <c r="E26" s="124"/>
      <c r="F26" s="124">
        <f>PAGE_2!AG26</f>
        <v>103662</v>
      </c>
      <c r="G26" s="124"/>
      <c r="H26" s="124">
        <f>PAGE_2!AJ26</f>
        <v>5066</v>
      </c>
      <c r="I26" s="124"/>
      <c r="J26" s="124">
        <f>PAGE_3!I26</f>
        <v>0</v>
      </c>
      <c r="K26" s="124"/>
      <c r="L26" s="124">
        <f>PAGE_4!D26</f>
        <v>11084</v>
      </c>
      <c r="M26" s="124"/>
      <c r="N26" s="124">
        <f>PAGE_4!R26</f>
        <v>22931</v>
      </c>
      <c r="O26" s="124"/>
      <c r="P26" s="124">
        <f>PAGE_5!H26</f>
        <v>93996</v>
      </c>
      <c r="Q26" s="174"/>
      <c r="R26" s="22"/>
      <c r="S26" s="33"/>
      <c r="T26" s="22"/>
      <c r="U26" s="22"/>
      <c r="V26" s="1"/>
      <c r="W26" s="7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</row>
    <row r="27" spans="1:240" ht="17.649999999999999" customHeight="1" x14ac:dyDescent="0.35">
      <c r="A27" s="122" t="s">
        <v>25</v>
      </c>
      <c r="B27" s="124">
        <f>PAGE_2!N27</f>
        <v>74</v>
      </c>
      <c r="C27" s="124"/>
      <c r="D27" s="124">
        <f>PAGE_2!Q27</f>
        <v>1726</v>
      </c>
      <c r="E27" s="124"/>
      <c r="F27" s="124">
        <f>PAGE_2!AG27</f>
        <v>84806</v>
      </c>
      <c r="G27" s="124"/>
      <c r="H27" s="124">
        <f>PAGE_2!AJ27</f>
        <v>4414</v>
      </c>
      <c r="I27" s="124"/>
      <c r="J27" s="124">
        <f>PAGE_3!I27</f>
        <v>0</v>
      </c>
      <c r="K27" s="124"/>
      <c r="L27" s="124">
        <f>PAGE_4!D27</f>
        <v>8577</v>
      </c>
      <c r="M27" s="124"/>
      <c r="N27" s="124">
        <f>PAGE_4!R27</f>
        <v>46676</v>
      </c>
      <c r="O27" s="124"/>
      <c r="P27" s="124">
        <f>PAGE_5!H27</f>
        <v>155398</v>
      </c>
      <c r="Q27" s="174"/>
      <c r="R27" s="22"/>
      <c r="S27" s="33"/>
      <c r="T27" s="33"/>
      <c r="U27" s="22"/>
      <c r="V27" s="1"/>
      <c r="W27" s="7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</row>
    <row r="28" spans="1:240" ht="17.649999999999999" customHeight="1" x14ac:dyDescent="0.35">
      <c r="A28" s="122" t="s">
        <v>101</v>
      </c>
      <c r="B28" s="124">
        <f>PAGE_2!N28</f>
        <v>86</v>
      </c>
      <c r="C28" s="124"/>
      <c r="D28" s="124">
        <f>PAGE_2!Q28</f>
        <v>1548</v>
      </c>
      <c r="E28" s="124"/>
      <c r="F28" s="124">
        <f>PAGE_2!AG28</f>
        <v>82662</v>
      </c>
      <c r="G28" s="124"/>
      <c r="H28" s="124">
        <f>PAGE_2!AJ28</f>
        <v>6617</v>
      </c>
      <c r="I28" s="124"/>
      <c r="J28" s="124">
        <f>PAGE_3!I28</f>
        <v>720</v>
      </c>
      <c r="K28" s="124"/>
      <c r="L28" s="124">
        <f>PAGE_4!D28</f>
        <v>8968</v>
      </c>
      <c r="M28" s="124"/>
      <c r="N28" s="124">
        <f>PAGE_4!R28</f>
        <v>37425</v>
      </c>
      <c r="O28" s="124"/>
      <c r="P28" s="124">
        <f>PAGE_5!H28</f>
        <v>32973</v>
      </c>
      <c r="Q28" s="174"/>
      <c r="R28" s="22"/>
      <c r="S28" s="33"/>
      <c r="T28" s="22"/>
      <c r="U28" s="22"/>
      <c r="V28" s="1"/>
      <c r="W28" s="7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</row>
    <row r="29" spans="1:240" ht="17.649999999999999" customHeight="1" x14ac:dyDescent="0.35">
      <c r="A29" s="122" t="s">
        <v>26</v>
      </c>
      <c r="B29" s="124">
        <f>PAGE_2!N29</f>
        <v>80</v>
      </c>
      <c r="C29" s="124"/>
      <c r="D29" s="124">
        <f>PAGE_2!Q29</f>
        <v>2202</v>
      </c>
      <c r="E29" s="124"/>
      <c r="F29" s="124">
        <f>PAGE_2!AG29</f>
        <v>92521</v>
      </c>
      <c r="G29" s="124"/>
      <c r="H29" s="124">
        <f>PAGE_2!AJ29</f>
        <v>1742</v>
      </c>
      <c r="I29" s="124"/>
      <c r="J29" s="124">
        <f>PAGE_3!I29</f>
        <v>-720</v>
      </c>
      <c r="K29" s="124"/>
      <c r="L29" s="124">
        <f>PAGE_4!D29</f>
        <v>11303</v>
      </c>
      <c r="M29" s="124"/>
      <c r="N29" s="124">
        <f>PAGE_4!R29</f>
        <v>47892</v>
      </c>
      <c r="O29" s="124"/>
      <c r="P29" s="124">
        <f>PAGE_5!H29</f>
        <v>32715</v>
      </c>
      <c r="Q29" s="174"/>
      <c r="R29" s="22"/>
      <c r="S29" s="33"/>
      <c r="T29" s="22"/>
      <c r="U29" s="22"/>
      <c r="V29" s="1"/>
      <c r="W29" s="7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</row>
    <row r="30" spans="1:240" ht="17.649999999999999" customHeight="1" x14ac:dyDescent="0.35">
      <c r="A30" s="122" t="s">
        <v>27</v>
      </c>
      <c r="B30" s="124">
        <f>PAGE_2!N30</f>
        <v>54</v>
      </c>
      <c r="C30" s="124"/>
      <c r="D30" s="124">
        <f>PAGE_2!Q30</f>
        <v>2155</v>
      </c>
      <c r="E30" s="124"/>
      <c r="F30" s="124">
        <f>PAGE_2!AG30</f>
        <v>90698</v>
      </c>
      <c r="G30" s="124"/>
      <c r="H30" s="124">
        <f>PAGE_2!AJ30</f>
        <v>2066</v>
      </c>
      <c r="I30" s="124"/>
      <c r="J30" s="124">
        <f>PAGE_3!I30</f>
        <v>0</v>
      </c>
      <c r="K30" s="124"/>
      <c r="L30" s="124">
        <f>PAGE_4!D30</f>
        <v>13933</v>
      </c>
      <c r="M30" s="124"/>
      <c r="N30" s="124">
        <f>PAGE_4!R30</f>
        <v>47155</v>
      </c>
      <c r="O30" s="124"/>
      <c r="P30" s="124">
        <f>PAGE_5!H30</f>
        <v>49527</v>
      </c>
      <c r="Q30" s="174"/>
      <c r="R30" s="22"/>
      <c r="S30" s="33"/>
      <c r="T30" s="22"/>
      <c r="U30" s="22"/>
      <c r="V30" s="1"/>
      <c r="W30" s="7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</row>
    <row r="31" spans="1:240" ht="17.649999999999999" customHeight="1" x14ac:dyDescent="0.35">
      <c r="A31" s="122" t="s">
        <v>102</v>
      </c>
      <c r="B31" s="124">
        <f>PAGE_2!N31</f>
        <v>104</v>
      </c>
      <c r="C31" s="124">
        <f>PAGE_2!O31</f>
        <v>0</v>
      </c>
      <c r="D31" s="124">
        <f>PAGE_2!Q31</f>
        <v>2052</v>
      </c>
      <c r="E31" s="124">
        <f>PAGE_2!R31</f>
        <v>0</v>
      </c>
      <c r="F31" s="124">
        <f>PAGE_2!AG31</f>
        <v>78120</v>
      </c>
      <c r="G31" s="124">
        <f>PAGE_2!AH31</f>
        <v>0</v>
      </c>
      <c r="H31" s="124">
        <f>PAGE_2!AJ31</f>
        <v>1156</v>
      </c>
      <c r="I31" s="124">
        <f>PAGE_2!AK31</f>
        <v>0</v>
      </c>
      <c r="J31" s="124">
        <f>PAGE_3!I31</f>
        <v>0</v>
      </c>
      <c r="K31" s="124">
        <f>PAGE_3!J31</f>
        <v>0</v>
      </c>
      <c r="L31" s="124">
        <f>PAGE_4!D31</f>
        <v>13026</v>
      </c>
      <c r="M31" s="124">
        <f>PAGE_4!E31</f>
        <v>0</v>
      </c>
      <c r="N31" s="124">
        <f>PAGE_4!R31</f>
        <v>40482</v>
      </c>
      <c r="O31" s="124">
        <f>PAGE_4!S31</f>
        <v>0</v>
      </c>
      <c r="P31" s="124">
        <f>PAGE_5!H31</f>
        <v>56407</v>
      </c>
      <c r="Q31" s="174">
        <f>PAGE_5!I31</f>
        <v>0</v>
      </c>
      <c r="R31" s="22"/>
      <c r="S31" s="33"/>
      <c r="T31" s="22"/>
      <c r="U31" s="22"/>
      <c r="V31" s="1"/>
      <c r="W31" s="7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</row>
    <row r="32" spans="1:240" ht="17.649999999999999" customHeight="1" x14ac:dyDescent="0.35">
      <c r="A32" s="122" t="s">
        <v>103</v>
      </c>
      <c r="B32" s="124">
        <f>PAGE_2!N32</f>
        <v>28</v>
      </c>
      <c r="C32" s="124">
        <f>PAGE_2!O32</f>
        <v>0</v>
      </c>
      <c r="D32" s="124">
        <f>PAGE_2!Q32</f>
        <v>2119</v>
      </c>
      <c r="E32" s="124">
        <f>PAGE_2!R32</f>
        <v>0</v>
      </c>
      <c r="F32" s="124">
        <f>PAGE_2!AG32</f>
        <v>84837</v>
      </c>
      <c r="G32" s="124">
        <f>PAGE_2!AH32</f>
        <v>0</v>
      </c>
      <c r="H32" s="124">
        <f>PAGE_2!AJ32</f>
        <v>219</v>
      </c>
      <c r="I32" s="124">
        <f>PAGE_2!AK32</f>
        <v>0</v>
      </c>
      <c r="J32" s="124">
        <f>PAGE_3!I32</f>
        <v>0</v>
      </c>
      <c r="K32" s="124">
        <f>PAGE_3!J32</f>
        <v>0</v>
      </c>
      <c r="L32" s="124">
        <f>PAGE_4!D32</f>
        <v>7653</v>
      </c>
      <c r="M32" s="124">
        <f>PAGE_4!E32</f>
        <v>0</v>
      </c>
      <c r="N32" s="124">
        <f>PAGE_4!R32</f>
        <v>53136</v>
      </c>
      <c r="O32" s="124">
        <f>PAGE_4!S32</f>
        <v>0</v>
      </c>
      <c r="P32" s="124">
        <f>PAGE_5!H32</f>
        <v>57456</v>
      </c>
      <c r="Q32" s="174">
        <f>PAGE_5!I32</f>
        <v>0</v>
      </c>
      <c r="R32" s="22"/>
      <c r="S32" s="33"/>
      <c r="T32" s="22"/>
      <c r="U32" s="22"/>
      <c r="V32" s="1"/>
      <c r="W32" s="7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</row>
    <row r="33" spans="1:240" ht="16.5" customHeight="1" x14ac:dyDescent="0.35">
      <c r="A33" s="122" t="s">
        <v>104</v>
      </c>
      <c r="B33" s="124">
        <f>PAGE_2!N33</f>
        <v>60</v>
      </c>
      <c r="C33" s="124">
        <f>PAGE_2!O33</f>
        <v>0</v>
      </c>
      <c r="D33" s="124">
        <f>PAGE_2!Q33</f>
        <v>2286</v>
      </c>
      <c r="E33" s="124">
        <f>PAGE_2!R33</f>
        <v>0</v>
      </c>
      <c r="F33" s="124">
        <f>PAGE_2!AG33</f>
        <v>92708</v>
      </c>
      <c r="G33" s="124">
        <f>PAGE_2!AH33</f>
        <v>0</v>
      </c>
      <c r="H33" s="124">
        <f>PAGE_2!AJ33</f>
        <v>2614</v>
      </c>
      <c r="I33" s="124">
        <f>PAGE_2!AK33</f>
        <v>0</v>
      </c>
      <c r="J33" s="124">
        <f>PAGE_3!I33</f>
        <v>0</v>
      </c>
      <c r="K33" s="124">
        <f>PAGE_3!J33</f>
        <v>0</v>
      </c>
      <c r="L33" s="124">
        <f>PAGE_4!D33</f>
        <v>7529</v>
      </c>
      <c r="M33" s="124">
        <f>PAGE_4!E33</f>
        <v>0</v>
      </c>
      <c r="N33" s="124">
        <f>PAGE_4!R33</f>
        <v>48990</v>
      </c>
      <c r="O33" s="124">
        <f>PAGE_4!S33</f>
        <v>0</v>
      </c>
      <c r="P33" s="124">
        <f>PAGE_5!H33</f>
        <v>49792</v>
      </c>
      <c r="Q33" s="174">
        <f>PAGE_5!I33</f>
        <v>0</v>
      </c>
      <c r="R33" s="22"/>
      <c r="S33" s="33"/>
      <c r="T33" s="22"/>
      <c r="U33" s="22"/>
      <c r="V33" s="1"/>
      <c r="W33" s="70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</row>
    <row r="34" spans="1:240" ht="16.5" customHeight="1" x14ac:dyDescent="0.35">
      <c r="A34" s="122" t="s">
        <v>28</v>
      </c>
      <c r="B34" s="124">
        <f>PAGE_2!N34</f>
        <v>23</v>
      </c>
      <c r="C34" s="124">
        <f>PAGE_2!O34</f>
        <v>0</v>
      </c>
      <c r="D34" s="124">
        <f>PAGE_2!Q34</f>
        <v>2019</v>
      </c>
      <c r="E34" s="124">
        <f>PAGE_2!R34</f>
        <v>0</v>
      </c>
      <c r="F34" s="124">
        <f>PAGE_2!AG34</f>
        <v>96947</v>
      </c>
      <c r="G34" s="124">
        <f>PAGE_2!AH34</f>
        <v>0</v>
      </c>
      <c r="H34" s="124">
        <f>PAGE_2!AJ34</f>
        <v>4411</v>
      </c>
      <c r="I34" s="124">
        <f>PAGE_2!AK34</f>
        <v>0</v>
      </c>
      <c r="J34" s="124">
        <f>PAGE_3!I34</f>
        <v>0</v>
      </c>
      <c r="K34" s="124">
        <f>PAGE_3!J34</f>
        <v>0</v>
      </c>
      <c r="L34" s="124">
        <f>PAGE_4!D34</f>
        <v>8259</v>
      </c>
      <c r="M34" s="124">
        <f>PAGE_4!E34</f>
        <v>0</v>
      </c>
      <c r="N34" s="124">
        <f>PAGE_4!R34</f>
        <v>53961</v>
      </c>
      <c r="O34" s="124">
        <f>PAGE_4!S34</f>
        <v>0</v>
      </c>
      <c r="P34" s="124">
        <f>PAGE_5!H34</f>
        <v>21616</v>
      </c>
      <c r="Q34" s="174">
        <f>PAGE_5!I34</f>
        <v>0</v>
      </c>
      <c r="R34" s="22"/>
      <c r="S34" s="22"/>
      <c r="T34" s="22"/>
      <c r="U34" s="22"/>
      <c r="V34" s="1"/>
      <c r="W34" s="7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</row>
    <row r="35" spans="1:240" ht="16.5" customHeight="1" x14ac:dyDescent="0.35">
      <c r="A35" s="122" t="s">
        <v>29</v>
      </c>
      <c r="B35" s="124">
        <f>PAGE_2!N35</f>
        <v>39</v>
      </c>
      <c r="C35" s="124">
        <f>PAGE_2!O35</f>
        <v>0</v>
      </c>
      <c r="D35" s="124">
        <f>PAGE_2!Q35</f>
        <v>1187</v>
      </c>
      <c r="E35" s="124">
        <f>PAGE_2!R35</f>
        <v>0</v>
      </c>
      <c r="F35" s="124">
        <f>PAGE_2!AG35</f>
        <v>83451</v>
      </c>
      <c r="G35" s="124">
        <f>PAGE_2!AH35</f>
        <v>0</v>
      </c>
      <c r="H35" s="124">
        <f>PAGE_2!AJ35</f>
        <v>3177</v>
      </c>
      <c r="I35" s="124">
        <f>PAGE_2!AK35</f>
        <v>0</v>
      </c>
      <c r="J35" s="124">
        <f>PAGE_3!I35</f>
        <v>0</v>
      </c>
      <c r="K35" s="124">
        <f>PAGE_3!J35</f>
        <v>0</v>
      </c>
      <c r="L35" s="124">
        <f>PAGE_4!D35</f>
        <v>9982</v>
      </c>
      <c r="M35" s="124">
        <f>PAGE_4!E35</f>
        <v>0</v>
      </c>
      <c r="N35" s="124">
        <f>PAGE_4!R35</f>
        <v>38025</v>
      </c>
      <c r="O35" s="124">
        <f>PAGE_4!S35</f>
        <v>0</v>
      </c>
      <c r="P35" s="124">
        <f>PAGE_5!H35</f>
        <v>30284</v>
      </c>
      <c r="Q35" s="174">
        <f>PAGE_5!I35</f>
        <v>0</v>
      </c>
      <c r="R35" s="22"/>
      <c r="S35" s="22"/>
      <c r="T35" s="22"/>
      <c r="U35" s="22"/>
      <c r="V35" s="1"/>
      <c r="W35" s="70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</row>
    <row r="36" spans="1:240" ht="16.5" customHeight="1" x14ac:dyDescent="0.35">
      <c r="A36" s="122" t="s">
        <v>30</v>
      </c>
      <c r="B36" s="124">
        <f>PAGE_2!N36</f>
        <v>38</v>
      </c>
      <c r="C36" s="124">
        <f>PAGE_2!O36</f>
        <v>0</v>
      </c>
      <c r="D36" s="124">
        <f>PAGE_2!Q36</f>
        <v>1407</v>
      </c>
      <c r="E36" s="124">
        <f>PAGE_2!R36</f>
        <v>0</v>
      </c>
      <c r="F36" s="124">
        <f>PAGE_2!AG36</f>
        <v>82426</v>
      </c>
      <c r="G36" s="124">
        <f>PAGE_2!AH36</f>
        <v>0</v>
      </c>
      <c r="H36" s="124">
        <f>PAGE_2!AJ36</f>
        <v>4031</v>
      </c>
      <c r="I36" s="124">
        <f>PAGE_2!AK36</f>
        <v>0</v>
      </c>
      <c r="J36" s="124">
        <f>PAGE_3!I36</f>
        <v>0</v>
      </c>
      <c r="K36" s="124">
        <f>PAGE_3!J36</f>
        <v>0</v>
      </c>
      <c r="L36" s="124">
        <f>PAGE_4!D36</f>
        <v>8613</v>
      </c>
      <c r="M36" s="124">
        <f>PAGE_4!E36</f>
        <v>0</v>
      </c>
      <c r="N36" s="124">
        <f>PAGE_4!R36</f>
        <v>39608</v>
      </c>
      <c r="O36" s="124">
        <f>PAGE_4!S36</f>
        <v>0</v>
      </c>
      <c r="P36" s="124">
        <f>PAGE_5!H36</f>
        <v>16541</v>
      </c>
      <c r="Q36" s="174">
        <f>PAGE_5!I36</f>
        <v>0</v>
      </c>
      <c r="R36" s="22"/>
      <c r="S36" s="22"/>
      <c r="T36" s="22"/>
      <c r="U36" s="22"/>
      <c r="V36" s="1"/>
      <c r="W36" s="70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</row>
    <row r="37" spans="1:240" ht="16.5" customHeight="1" x14ac:dyDescent="0.35">
      <c r="A37" s="122" t="s">
        <v>31</v>
      </c>
      <c r="B37" s="124">
        <f>PAGE_2!N37</f>
        <v>27</v>
      </c>
      <c r="C37" s="124">
        <f>PAGE_2!O37</f>
        <v>0</v>
      </c>
      <c r="D37" s="124">
        <f>PAGE_2!Q37</f>
        <v>1716</v>
      </c>
      <c r="E37" s="124">
        <f>PAGE_2!R37</f>
        <v>0</v>
      </c>
      <c r="F37" s="124">
        <f>PAGE_2!AG37</f>
        <v>54638</v>
      </c>
      <c r="G37" s="124">
        <f>PAGE_2!AH37</f>
        <v>0</v>
      </c>
      <c r="H37" s="124">
        <f>PAGE_2!AJ37</f>
        <v>4697</v>
      </c>
      <c r="I37" s="124">
        <f>PAGE_2!AK37</f>
        <v>0</v>
      </c>
      <c r="J37" s="124">
        <f>PAGE_3!I37</f>
        <v>0</v>
      </c>
      <c r="K37" s="124">
        <f>PAGE_3!J37</f>
        <v>0</v>
      </c>
      <c r="L37" s="124">
        <f>PAGE_4!D37</f>
        <v>6323</v>
      </c>
      <c r="M37" s="124">
        <f>PAGE_4!E37</f>
        <v>0</v>
      </c>
      <c r="N37" s="124">
        <f>PAGE_4!R37</f>
        <v>32455</v>
      </c>
      <c r="O37" s="124">
        <f>PAGE_4!S37</f>
        <v>0</v>
      </c>
      <c r="P37" s="124">
        <f>PAGE_5!H37</f>
        <v>30698</v>
      </c>
      <c r="Q37" s="174">
        <f>PAGE_5!I37</f>
        <v>0</v>
      </c>
      <c r="R37" s="22"/>
      <c r="S37" s="22"/>
      <c r="T37" s="22"/>
      <c r="U37" s="22"/>
      <c r="V37" s="1"/>
      <c r="W37" s="7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</row>
    <row r="38" spans="1:240" ht="16.5" customHeight="1" x14ac:dyDescent="0.35">
      <c r="A38" s="122" t="s">
        <v>32</v>
      </c>
      <c r="B38" s="124">
        <f>PAGE_2!N38</f>
        <v>53</v>
      </c>
      <c r="C38" s="124">
        <f>PAGE_2!O38</f>
        <v>0</v>
      </c>
      <c r="D38" s="124">
        <f>PAGE_2!Q38</f>
        <v>2220</v>
      </c>
      <c r="E38" s="124">
        <f>PAGE_2!R38</f>
        <v>0</v>
      </c>
      <c r="F38" s="124">
        <f>PAGE_2!AG38</f>
        <v>145714</v>
      </c>
      <c r="G38" s="124">
        <f>PAGE_2!AH38</f>
        <v>0</v>
      </c>
      <c r="H38" s="124">
        <f>PAGE_2!AJ38</f>
        <v>5323</v>
      </c>
      <c r="I38" s="124">
        <f>PAGE_2!AK38</f>
        <v>0</v>
      </c>
      <c r="J38" s="124">
        <f>PAGE_3!I38</f>
        <v>0</v>
      </c>
      <c r="K38" s="124">
        <f>PAGE_3!J38</f>
        <v>0</v>
      </c>
      <c r="L38" s="124">
        <f>PAGE_4!D38</f>
        <v>12169</v>
      </c>
      <c r="M38" s="124">
        <f>PAGE_4!E38</f>
        <v>0</v>
      </c>
      <c r="N38" s="124">
        <f>PAGE_4!R38</f>
        <v>43189</v>
      </c>
      <c r="O38" s="124">
        <f>PAGE_4!S38</f>
        <v>0</v>
      </c>
      <c r="P38" s="124">
        <f>PAGE_5!H38</f>
        <v>29484</v>
      </c>
      <c r="Q38" s="174">
        <f>PAGE_5!I38</f>
        <v>0</v>
      </c>
      <c r="R38" s="22"/>
      <c r="S38" s="22"/>
      <c r="T38" s="22"/>
      <c r="U38" s="22"/>
      <c r="V38" s="1"/>
      <c r="W38" s="7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</row>
    <row r="39" spans="1:240" ht="16.5" customHeight="1" x14ac:dyDescent="0.35">
      <c r="A39" s="122" t="s">
        <v>33</v>
      </c>
      <c r="B39" s="124">
        <f>PAGE_2!N39</f>
        <v>29</v>
      </c>
      <c r="C39" s="124">
        <f>PAGE_2!O39</f>
        <v>0</v>
      </c>
      <c r="D39" s="124">
        <f>PAGE_2!Q39</f>
        <v>2425</v>
      </c>
      <c r="E39" s="124">
        <f>PAGE_2!R39</f>
        <v>0</v>
      </c>
      <c r="F39" s="124">
        <f>PAGE_2!AG39</f>
        <v>112556</v>
      </c>
      <c r="G39" s="124">
        <f>PAGE_2!AH39</f>
        <v>0</v>
      </c>
      <c r="H39" s="124">
        <f>PAGE_2!AJ39</f>
        <v>6258</v>
      </c>
      <c r="I39" s="124">
        <f>PAGE_2!AK39</f>
        <v>0</v>
      </c>
      <c r="J39" s="124">
        <f>PAGE_3!I39</f>
        <v>0</v>
      </c>
      <c r="K39" s="124">
        <f>PAGE_3!J39</f>
        <v>0</v>
      </c>
      <c r="L39" s="124">
        <f>PAGE_4!D39</f>
        <v>10531</v>
      </c>
      <c r="M39" s="124">
        <f>PAGE_4!E39</f>
        <v>0</v>
      </c>
      <c r="N39" s="124">
        <f>PAGE_4!R39</f>
        <v>36515</v>
      </c>
      <c r="O39" s="124">
        <f>PAGE_4!S39</f>
        <v>0</v>
      </c>
      <c r="P39" s="124">
        <f>PAGE_5!H39</f>
        <v>24888</v>
      </c>
      <c r="Q39" s="174">
        <f>PAGE_5!I39</f>
        <v>0</v>
      </c>
      <c r="R39" s="22"/>
      <c r="S39" s="22"/>
      <c r="T39" s="22"/>
      <c r="U39" s="22"/>
      <c r="V39" s="1"/>
      <c r="W39" s="70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</row>
    <row r="40" spans="1:240" ht="16.5" customHeight="1" x14ac:dyDescent="0.35">
      <c r="A40" s="122" t="s">
        <v>34</v>
      </c>
      <c r="B40" s="124">
        <f>PAGE_2!N40</f>
        <v>23</v>
      </c>
      <c r="C40" s="124">
        <f>PAGE_2!O40</f>
        <v>0</v>
      </c>
      <c r="D40" s="124">
        <f>PAGE_2!Q40</f>
        <v>1652</v>
      </c>
      <c r="E40" s="124">
        <f>PAGE_2!R40</f>
        <v>0</v>
      </c>
      <c r="F40" s="124">
        <f>PAGE_2!AG40</f>
        <v>96001</v>
      </c>
      <c r="G40" s="124">
        <f>PAGE_2!AH40</f>
        <v>0</v>
      </c>
      <c r="H40" s="124">
        <f>PAGE_2!AJ40</f>
        <v>4328</v>
      </c>
      <c r="I40" s="124">
        <f>PAGE_2!AK40</f>
        <v>0</v>
      </c>
      <c r="J40" s="124">
        <f>PAGE_3!I40</f>
        <v>0</v>
      </c>
      <c r="K40" s="124">
        <f>PAGE_3!J40</f>
        <v>0</v>
      </c>
      <c r="L40" s="124">
        <f>PAGE_4!D40</f>
        <v>7800</v>
      </c>
      <c r="M40" s="124">
        <f>PAGE_4!E40</f>
        <v>0</v>
      </c>
      <c r="N40" s="124">
        <f>PAGE_4!R40</f>
        <v>22430</v>
      </c>
      <c r="O40" s="124">
        <f>PAGE_4!S40</f>
        <v>0</v>
      </c>
      <c r="P40" s="124">
        <f>PAGE_5!H40</f>
        <v>18644</v>
      </c>
      <c r="Q40" s="174">
        <f>PAGE_5!I40</f>
        <v>0</v>
      </c>
      <c r="R40" s="22"/>
      <c r="S40" s="22"/>
      <c r="T40" s="22"/>
      <c r="U40" s="22"/>
      <c r="V40" s="1"/>
      <c r="W40" s="70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</row>
    <row r="41" spans="1:240" ht="17.649999999999999" customHeight="1" x14ac:dyDescent="0.3">
      <c r="A41" s="122" t="s">
        <v>35</v>
      </c>
      <c r="B41" s="124">
        <f>PAGE_2!N41</f>
        <v>23</v>
      </c>
      <c r="C41" s="124">
        <f>PAGE_2!O41</f>
        <v>0</v>
      </c>
      <c r="D41" s="124">
        <f>PAGE_2!Q41</f>
        <v>557</v>
      </c>
      <c r="E41" s="124">
        <f>PAGE_2!R41</f>
        <v>0</v>
      </c>
      <c r="F41" s="124">
        <f>PAGE_2!AG41</f>
        <v>56053</v>
      </c>
      <c r="G41" s="124">
        <f>PAGE_2!AH41</f>
        <v>0</v>
      </c>
      <c r="H41" s="124">
        <f>PAGE_2!AJ41</f>
        <v>1911</v>
      </c>
      <c r="I41" s="124">
        <f>PAGE_2!AK41</f>
        <v>0</v>
      </c>
      <c r="J41" s="124">
        <f>PAGE_3!I41</f>
        <v>0</v>
      </c>
      <c r="K41" s="124">
        <f>PAGE_3!J41</f>
        <v>0</v>
      </c>
      <c r="L41" s="124">
        <f>PAGE_4!D41</f>
        <v>3913</v>
      </c>
      <c r="M41" s="124">
        <f>PAGE_4!E41</f>
        <v>0</v>
      </c>
      <c r="N41" s="124">
        <f>PAGE_4!R41</f>
        <v>1117</v>
      </c>
      <c r="O41" s="124">
        <f>PAGE_4!S41</f>
        <v>0</v>
      </c>
      <c r="P41" s="124">
        <f>PAGE_5!H41</f>
        <v>33250</v>
      </c>
      <c r="Q41" s="124">
        <f>PAGE_5!I41</f>
        <v>0</v>
      </c>
      <c r="R41" s="14"/>
      <c r="S41" s="14"/>
      <c r="T41" s="14"/>
      <c r="U41" s="14"/>
      <c r="W41" s="71"/>
    </row>
    <row r="42" spans="1:240" ht="17.649999999999999" customHeight="1" x14ac:dyDescent="0.3">
      <c r="A42" s="122" t="s">
        <v>36</v>
      </c>
      <c r="B42" s="124">
        <f>PAGE_2!N42</f>
        <v>-6</v>
      </c>
      <c r="C42" s="124">
        <f>PAGE_2!O42</f>
        <v>0</v>
      </c>
      <c r="D42" s="124">
        <f>PAGE_2!Q42</f>
        <v>620</v>
      </c>
      <c r="E42" s="124">
        <f>PAGE_2!R42</f>
        <v>0</v>
      </c>
      <c r="F42" s="124">
        <f>PAGE_2!AG42</f>
        <v>108184</v>
      </c>
      <c r="G42" s="124">
        <f>PAGE_2!AH42</f>
        <v>0</v>
      </c>
      <c r="H42" s="124">
        <f>PAGE_2!AJ42</f>
        <v>2793</v>
      </c>
      <c r="I42" s="124">
        <f>PAGE_2!AK42</f>
        <v>0</v>
      </c>
      <c r="J42" s="124">
        <f>PAGE_3!I42</f>
        <v>0</v>
      </c>
      <c r="K42" s="124">
        <f>PAGE_3!J42</f>
        <v>0</v>
      </c>
      <c r="L42" s="124">
        <f>PAGE_4!D42</f>
        <v>4782</v>
      </c>
      <c r="M42" s="124">
        <f>PAGE_4!E42</f>
        <v>0</v>
      </c>
      <c r="N42" s="124">
        <f>PAGE_4!R42</f>
        <v>40396</v>
      </c>
      <c r="O42" s="124">
        <f>PAGE_4!S42</f>
        <v>0</v>
      </c>
      <c r="P42" s="124">
        <f>PAGE_5!H42</f>
        <v>13268</v>
      </c>
      <c r="Q42" s="124">
        <f>PAGE_5!I42</f>
        <v>0</v>
      </c>
      <c r="R42" s="14"/>
      <c r="S42" s="14"/>
      <c r="T42" s="14"/>
      <c r="U42" s="14"/>
      <c r="W42" s="71"/>
    </row>
    <row r="43" spans="1:240" ht="17.649999999999999" customHeight="1" x14ac:dyDescent="0.3">
      <c r="A43" s="122" t="s">
        <v>37</v>
      </c>
      <c r="B43" s="124">
        <f>PAGE_2!N43</f>
        <v>82</v>
      </c>
      <c r="C43" s="124">
        <f>PAGE_2!O43</f>
        <v>0</v>
      </c>
      <c r="D43" s="124">
        <f>PAGE_2!Q43</f>
        <v>1588</v>
      </c>
      <c r="E43" s="124">
        <f>PAGE_2!R43</f>
        <v>0</v>
      </c>
      <c r="F43" s="124">
        <f>PAGE_2!AG43</f>
        <v>77809</v>
      </c>
      <c r="G43" s="124">
        <f>PAGE_2!AH43</f>
        <v>0</v>
      </c>
      <c r="H43" s="124">
        <f>PAGE_2!AJ43</f>
        <v>4199</v>
      </c>
      <c r="I43" s="124">
        <f>PAGE_2!AK43</f>
        <v>0</v>
      </c>
      <c r="J43" s="124">
        <f>PAGE_3!I43</f>
        <v>228</v>
      </c>
      <c r="K43" s="124">
        <f>PAGE_3!J43</f>
        <v>0</v>
      </c>
      <c r="L43" s="124">
        <f>PAGE_4!D43</f>
        <v>5824</v>
      </c>
      <c r="M43" s="124">
        <f>PAGE_4!E43</f>
        <v>0</v>
      </c>
      <c r="N43" s="124">
        <f>PAGE_4!R43</f>
        <v>47187</v>
      </c>
      <c r="O43" s="124">
        <f>PAGE_4!S43</f>
        <v>0</v>
      </c>
      <c r="P43" s="124">
        <f>PAGE_5!H43</f>
        <v>0</v>
      </c>
      <c r="Q43" s="124">
        <f>PAGE_5!I43</f>
        <v>0</v>
      </c>
      <c r="R43" s="14"/>
      <c r="S43" s="14"/>
      <c r="T43" s="14"/>
      <c r="U43" s="14"/>
      <c r="W43" s="71"/>
    </row>
    <row r="44" spans="1:240" ht="17.649999999999999" customHeight="1" x14ac:dyDescent="0.3">
      <c r="A44" s="122" t="s">
        <v>38</v>
      </c>
      <c r="B44" s="124">
        <f>PAGE_2!N44</f>
        <v>15</v>
      </c>
      <c r="C44" s="124">
        <f>PAGE_2!O44</f>
        <v>0</v>
      </c>
      <c r="D44" s="124">
        <f>PAGE_2!Q44</f>
        <v>2373</v>
      </c>
      <c r="E44" s="124">
        <f>PAGE_2!R44</f>
        <v>0</v>
      </c>
      <c r="F44" s="124">
        <f>PAGE_2!AG44</f>
        <v>81912</v>
      </c>
      <c r="G44" s="124">
        <f>PAGE_2!AH44</f>
        <v>0</v>
      </c>
      <c r="H44" s="124">
        <f>PAGE_2!AJ44</f>
        <v>4521</v>
      </c>
      <c r="I44" s="124">
        <f>PAGE_2!AK44</f>
        <v>0</v>
      </c>
      <c r="J44" s="124">
        <f>PAGE_3!I44</f>
        <v>0</v>
      </c>
      <c r="K44" s="124">
        <f>PAGE_3!J44</f>
        <v>0</v>
      </c>
      <c r="L44" s="124">
        <f>PAGE_4!D44</f>
        <v>17123</v>
      </c>
      <c r="M44" s="124">
        <f>PAGE_4!E44</f>
        <v>0</v>
      </c>
      <c r="N44" s="124">
        <f>PAGE_4!R44</f>
        <v>40748</v>
      </c>
      <c r="O44" s="124">
        <f>PAGE_4!S44</f>
        <v>0</v>
      </c>
      <c r="P44" s="124">
        <f>PAGE_5!H44</f>
        <v>7000</v>
      </c>
      <c r="Q44" s="124">
        <f>PAGE_5!I44</f>
        <v>0</v>
      </c>
      <c r="R44" s="14"/>
      <c r="S44" s="14"/>
      <c r="T44" s="14"/>
      <c r="U44" s="14"/>
      <c r="W44" s="71"/>
    </row>
    <row r="45" spans="1:240" ht="17.649999999999999" customHeight="1" x14ac:dyDescent="0.3">
      <c r="A45" s="122" t="s">
        <v>39</v>
      </c>
      <c r="B45" s="124">
        <f>PAGE_2!N45</f>
        <v>17</v>
      </c>
      <c r="C45" s="124">
        <f>PAGE_2!O45</f>
        <v>0</v>
      </c>
      <c r="D45" s="124">
        <f>PAGE_2!Q45</f>
        <v>2224</v>
      </c>
      <c r="E45" s="124">
        <f>PAGE_2!R45</f>
        <v>0</v>
      </c>
      <c r="F45" s="124">
        <f>PAGE_2!AG45</f>
        <v>75480</v>
      </c>
      <c r="G45" s="124">
        <f>PAGE_2!AH45</f>
        <v>0</v>
      </c>
      <c r="H45" s="124">
        <f>PAGE_2!AJ45</f>
        <v>3886</v>
      </c>
      <c r="I45" s="124">
        <f>PAGE_2!AK45</f>
        <v>0</v>
      </c>
      <c r="J45" s="124">
        <f>PAGE_3!I45</f>
        <v>0</v>
      </c>
      <c r="K45" s="124">
        <f>PAGE_3!J45</f>
        <v>0</v>
      </c>
      <c r="L45" s="124">
        <f>PAGE_4!D45</f>
        <v>12079</v>
      </c>
      <c r="M45" s="124">
        <f>PAGE_4!E45</f>
        <v>0</v>
      </c>
      <c r="N45" s="124">
        <f>PAGE_4!R45</f>
        <v>40515</v>
      </c>
      <c r="O45" s="124">
        <f>PAGE_4!S45</f>
        <v>0</v>
      </c>
      <c r="P45" s="124">
        <f>PAGE_5!H45</f>
        <v>14173</v>
      </c>
      <c r="Q45" s="124">
        <f>PAGE_5!I45</f>
        <v>0</v>
      </c>
      <c r="R45" s="14"/>
      <c r="S45" s="14"/>
      <c r="T45" s="14"/>
      <c r="U45" s="14"/>
      <c r="W45" s="71"/>
    </row>
    <row r="46" spans="1:240" ht="17.649999999999999" customHeight="1" x14ac:dyDescent="0.3">
      <c r="A46" s="122" t="s">
        <v>40</v>
      </c>
      <c r="B46" s="124">
        <f>PAGE_2!N46</f>
        <v>14</v>
      </c>
      <c r="C46" s="124">
        <f>PAGE_2!O46</f>
        <v>0</v>
      </c>
      <c r="D46" s="124">
        <f>PAGE_2!Q46</f>
        <v>2449</v>
      </c>
      <c r="E46" s="124">
        <f>PAGE_2!R46</f>
        <v>0</v>
      </c>
      <c r="F46" s="124">
        <f>PAGE_2!AG46</f>
        <v>95984</v>
      </c>
      <c r="G46" s="124">
        <f>PAGE_2!AH46</f>
        <v>0</v>
      </c>
      <c r="H46" s="124">
        <f>PAGE_2!AJ46</f>
        <v>5898</v>
      </c>
      <c r="I46" s="124">
        <f>PAGE_2!AK46</f>
        <v>0</v>
      </c>
      <c r="J46" s="124">
        <f>PAGE_3!I46</f>
        <v>0</v>
      </c>
      <c r="K46" s="124">
        <f>PAGE_3!J46</f>
        <v>0</v>
      </c>
      <c r="L46" s="124">
        <f>PAGE_4!D46</f>
        <v>7767</v>
      </c>
      <c r="M46" s="124">
        <f>PAGE_4!E46</f>
        <v>0</v>
      </c>
      <c r="N46" s="124">
        <f>PAGE_4!R46</f>
        <v>38400</v>
      </c>
      <c r="O46" s="124">
        <f>PAGE_4!S46</f>
        <v>0</v>
      </c>
      <c r="P46" s="124">
        <f>PAGE_5!H46</f>
        <v>10491</v>
      </c>
      <c r="Q46" s="124">
        <f>PAGE_5!I46</f>
        <v>0</v>
      </c>
      <c r="R46" s="14"/>
      <c r="S46" s="14"/>
      <c r="T46" s="14"/>
      <c r="U46" s="14"/>
      <c r="W46" s="71"/>
    </row>
    <row r="47" spans="1:240" ht="17.649999999999999" customHeight="1" x14ac:dyDescent="0.3">
      <c r="A47" s="122" t="s">
        <v>41</v>
      </c>
      <c r="B47" s="124">
        <f>PAGE_2!N47</f>
        <v>17</v>
      </c>
      <c r="C47" s="124">
        <f>PAGE_2!O47</f>
        <v>0</v>
      </c>
      <c r="D47" s="124">
        <f>PAGE_2!Q47</f>
        <v>1747</v>
      </c>
      <c r="E47" s="124">
        <f>PAGE_2!R47</f>
        <v>0</v>
      </c>
      <c r="F47" s="124">
        <f>PAGE_2!AG47</f>
        <v>69644</v>
      </c>
      <c r="G47" s="124">
        <f>PAGE_2!AH47</f>
        <v>0</v>
      </c>
      <c r="H47" s="124">
        <f>PAGE_2!AJ47</f>
        <v>2904</v>
      </c>
      <c r="I47" s="124">
        <f>PAGE_2!AK47</f>
        <v>0</v>
      </c>
      <c r="J47" s="124">
        <f>PAGE_3!I47</f>
        <v>0</v>
      </c>
      <c r="K47" s="124">
        <f>PAGE_3!J47</f>
        <v>0</v>
      </c>
      <c r="L47" s="124">
        <f>PAGE_4!D47</f>
        <v>3843</v>
      </c>
      <c r="M47" s="124">
        <f>PAGE_4!E47</f>
        <v>0</v>
      </c>
      <c r="N47" s="124">
        <f>PAGE_4!R47</f>
        <v>16879</v>
      </c>
      <c r="O47" s="124">
        <f>PAGE_4!S47</f>
        <v>0</v>
      </c>
      <c r="P47" s="124">
        <f>PAGE_5!H47</f>
        <v>9131</v>
      </c>
      <c r="Q47" s="124">
        <f>PAGE_5!I47</f>
        <v>0</v>
      </c>
      <c r="R47" s="14"/>
      <c r="S47" s="14"/>
      <c r="T47" s="14"/>
      <c r="U47" s="14"/>
      <c r="W47" s="71"/>
    </row>
    <row r="48" spans="1:240" ht="17.649999999999999" customHeight="1" x14ac:dyDescent="0.3">
      <c r="A48" s="122" t="s">
        <v>42</v>
      </c>
      <c r="B48" s="124">
        <f>PAGE_2!N48</f>
        <v>16.428571428571431</v>
      </c>
      <c r="C48" s="124">
        <f>PAGE_2!O48</f>
        <v>0</v>
      </c>
      <c r="D48" s="124">
        <f>PAGE_2!Q48</f>
        <v>1651.1428571428571</v>
      </c>
      <c r="E48" s="124">
        <f>PAGE_2!R48</f>
        <v>0</v>
      </c>
      <c r="F48" s="124">
        <f>PAGE_2!AG48</f>
        <v>80723.71428571429</v>
      </c>
      <c r="G48" s="124">
        <f>PAGE_2!AH48</f>
        <v>0</v>
      </c>
      <c r="H48" s="124">
        <f>PAGE_2!AJ48</f>
        <v>3730.2857142857142</v>
      </c>
      <c r="I48" s="124">
        <f>PAGE_2!AK48</f>
        <v>0</v>
      </c>
      <c r="J48" s="124">
        <f>PAGE_3!I48</f>
        <v>0</v>
      </c>
      <c r="K48" s="124">
        <f>PAGE_3!J48</f>
        <v>0</v>
      </c>
      <c r="L48" s="124">
        <f>PAGE_4!D48</f>
        <v>7904.4285714285716</v>
      </c>
      <c r="M48" s="124">
        <f>PAGE_4!E48</f>
        <v>0</v>
      </c>
      <c r="N48" s="124">
        <f>PAGE_4!R48</f>
        <v>33121.999999999993</v>
      </c>
      <c r="O48" s="124">
        <f>PAGE_4!S48</f>
        <v>0</v>
      </c>
      <c r="P48" s="124">
        <f>PAGE_5!H48</f>
        <v>6645.4285714285716</v>
      </c>
      <c r="Q48" s="124">
        <f>PAGE_5!I48</f>
        <v>0</v>
      </c>
      <c r="R48" s="14"/>
      <c r="S48" s="14"/>
      <c r="T48" s="14"/>
      <c r="U48" s="14"/>
      <c r="W48" s="71"/>
    </row>
    <row r="49" spans="1:23" ht="17.649999999999999" customHeight="1" x14ac:dyDescent="0.3">
      <c r="A49" s="122" t="s">
        <v>43</v>
      </c>
      <c r="B49" s="124">
        <f>PAGE_2!N49</f>
        <v>16.428571428571431</v>
      </c>
      <c r="C49" s="124">
        <f>PAGE_2!O49</f>
        <v>16.047371999999999</v>
      </c>
      <c r="D49" s="124">
        <f>PAGE_2!Q49</f>
        <v>1651.1428571428571</v>
      </c>
      <c r="E49" s="124">
        <f>PAGE_2!R49</f>
        <v>1612.830696</v>
      </c>
      <c r="F49" s="124">
        <f>PAGE_2!AG49</f>
        <v>80723.71428571429</v>
      </c>
      <c r="G49" s="124">
        <f>PAGE_2!AH49</f>
        <v>78850.648042000001</v>
      </c>
      <c r="H49" s="124">
        <f>PAGE_2!AJ49</f>
        <v>3730.2857142857142</v>
      </c>
      <c r="I49" s="124">
        <f>PAGE_2!AK49</f>
        <v>3643.7303280000001</v>
      </c>
      <c r="J49" s="124">
        <f>PAGE_3!I49</f>
        <v>0</v>
      </c>
      <c r="K49" s="124">
        <f>PAGE_3!J49</f>
        <v>0</v>
      </c>
      <c r="L49" s="124">
        <f>PAGE_4!D49</f>
        <v>7904.4285714285716</v>
      </c>
      <c r="M49" s="124">
        <f>PAGE_4!E49</f>
        <v>7721.018795</v>
      </c>
      <c r="N49" s="124">
        <f>PAGE_4!R49</f>
        <v>33121.999999999993</v>
      </c>
      <c r="O49" s="124">
        <f>PAGE_4!S49</f>
        <v>32353.456324000002</v>
      </c>
      <c r="P49" s="124">
        <f>PAGE_5!H49</f>
        <v>6645.4285714285716</v>
      </c>
      <c r="Q49" s="124">
        <f>PAGE_5!I49</f>
        <v>6491.2319010000001</v>
      </c>
      <c r="R49" s="14"/>
      <c r="S49" s="14"/>
      <c r="T49" s="14"/>
      <c r="U49" s="14"/>
      <c r="W49" s="71"/>
    </row>
    <row r="50" spans="1:23" ht="17.649999999999999" customHeight="1" x14ac:dyDescent="0.3">
      <c r="A50" s="122" t="s">
        <v>44</v>
      </c>
      <c r="B50" s="124">
        <f>PAGE_2!N50</f>
        <v>16.428571428571431</v>
      </c>
      <c r="C50" s="124">
        <f>PAGE_2!O50</f>
        <v>15.675018</v>
      </c>
      <c r="D50" s="124">
        <f>PAGE_2!Q50</f>
        <v>1651.1428571428571</v>
      </c>
      <c r="E50" s="124">
        <f>PAGE_2!R50</f>
        <v>1575.407508</v>
      </c>
      <c r="F50" s="124">
        <f>PAGE_2!AG50</f>
        <v>80723.71428571429</v>
      </c>
      <c r="G50" s="124">
        <f>PAGE_2!AH50</f>
        <v>77021.043342000004</v>
      </c>
      <c r="H50" s="124">
        <f>PAGE_2!AJ50</f>
        <v>3730.2857142857142</v>
      </c>
      <c r="I50" s="124">
        <f>PAGE_2!AK50</f>
        <v>3559.1833230000002</v>
      </c>
      <c r="J50" s="124">
        <f>PAGE_3!I50</f>
        <v>0</v>
      </c>
      <c r="K50" s="124">
        <f>PAGE_3!J50</f>
        <v>0</v>
      </c>
      <c r="L50" s="124">
        <f>PAGE_4!D50</f>
        <v>7904.4285714285716</v>
      </c>
      <c r="M50" s="124">
        <f>PAGE_4!E50</f>
        <v>7541.8647549999996</v>
      </c>
      <c r="N50" s="124">
        <f>PAGE_4!R50</f>
        <v>33121.999999999993</v>
      </c>
      <c r="O50" s="124">
        <f>PAGE_4!S50</f>
        <v>31602.745488000004</v>
      </c>
      <c r="P50" s="124">
        <f>PAGE_5!H50</f>
        <v>6645.4285714285716</v>
      </c>
      <c r="Q50" s="124">
        <f>PAGE_5!I50</f>
        <v>6340.6131219999997</v>
      </c>
      <c r="R50" s="14"/>
      <c r="S50" s="14"/>
      <c r="T50" s="14"/>
      <c r="U50" s="14"/>
      <c r="W50" s="71"/>
    </row>
    <row r="51" spans="1:23" ht="17.649999999999999" customHeight="1" x14ac:dyDescent="0.3">
      <c r="A51" s="122" t="s">
        <v>45</v>
      </c>
      <c r="B51" s="124">
        <f>PAGE_2!N51</f>
        <v>34.428571428571431</v>
      </c>
      <c r="C51" s="124">
        <f>PAGE_2!O51</f>
        <v>32.087168999999996</v>
      </c>
      <c r="D51" s="124">
        <f>PAGE_2!Q51</f>
        <v>1651.1428571428571</v>
      </c>
      <c r="E51" s="124">
        <f>PAGE_2!R51</f>
        <v>1538.852666</v>
      </c>
      <c r="F51" s="124">
        <f>PAGE_2!AG51</f>
        <v>80723.71428571429</v>
      </c>
      <c r="G51" s="124">
        <f>PAGE_2!AH51</f>
        <v>75233.891726999995</v>
      </c>
      <c r="H51" s="124">
        <f>PAGE_2!AJ51</f>
        <v>3730.2857142857142</v>
      </c>
      <c r="I51" s="124">
        <f>PAGE_2!AK51</f>
        <v>3476.5980979999999</v>
      </c>
      <c r="J51" s="124">
        <f>PAGE_3!I51</f>
        <v>278</v>
      </c>
      <c r="K51" s="124">
        <f>PAGE_3!J51</f>
        <v>259.09389900000002</v>
      </c>
      <c r="L51" s="124">
        <f>PAGE_4!D51</f>
        <v>7904.4285714285716</v>
      </c>
      <c r="M51" s="124">
        <f>PAGE_4!E51</f>
        <v>7366.8676999999998</v>
      </c>
      <c r="N51" s="124">
        <f>PAGE_4!R51</f>
        <v>38121.999999999993</v>
      </c>
      <c r="O51" s="124">
        <f>PAGE_4!S51</f>
        <v>35529.415931594718</v>
      </c>
      <c r="P51" s="124">
        <f>PAGE_5!H51</f>
        <v>15217.428571428572</v>
      </c>
      <c r="Q51" s="124">
        <f>PAGE_5!I51</f>
        <v>14182.528439</v>
      </c>
      <c r="R51" s="14"/>
      <c r="S51" s="14"/>
      <c r="T51" s="14"/>
      <c r="U51" s="14"/>
      <c r="W51" s="71"/>
    </row>
    <row r="52" spans="1:23" ht="17.649999999999999" customHeight="1" x14ac:dyDescent="0.3">
      <c r="A52" s="122" t="s">
        <v>46</v>
      </c>
      <c r="B52" s="124">
        <f>PAGE_2!N52</f>
        <v>34.428571428571431</v>
      </c>
      <c r="C52" s="124">
        <f>PAGE_2!O52</f>
        <v>31.342636000000002</v>
      </c>
      <c r="D52" s="124">
        <f>PAGE_2!Q52</f>
        <v>1651.1428571428571</v>
      </c>
      <c r="E52" s="124">
        <f>PAGE_2!R52</f>
        <v>1503.146021</v>
      </c>
      <c r="F52" s="124">
        <f>PAGE_2!AG52</f>
        <v>80723.71428571429</v>
      </c>
      <c r="G52" s="124">
        <f>PAGE_2!AH52</f>
        <v>73488.208142000003</v>
      </c>
      <c r="H52" s="124">
        <f>PAGE_2!AJ52</f>
        <v>3730.2857142857142</v>
      </c>
      <c r="I52" s="124">
        <f>PAGE_2!AK52</f>
        <v>3395.9291320000002</v>
      </c>
      <c r="J52" s="124">
        <f>PAGE_3!I52</f>
        <v>278</v>
      </c>
      <c r="K52" s="124">
        <f>PAGE_3!J52</f>
        <v>253.08203500000002</v>
      </c>
      <c r="L52" s="124">
        <f>PAGE_4!D52</f>
        <v>7904.4285714285716</v>
      </c>
      <c r="M52" s="124">
        <f>PAGE_4!E52</f>
        <v>7195.9311740000003</v>
      </c>
      <c r="N52" s="124">
        <f>PAGE_4!R52</f>
        <v>38121.999999999993</v>
      </c>
      <c r="O52" s="124">
        <f>PAGE_4!S52</f>
        <v>34705.011973256464</v>
      </c>
      <c r="P52" s="124">
        <f>PAGE_5!H52</f>
        <v>15217.428571428572</v>
      </c>
      <c r="Q52" s="124">
        <f>PAGE_5!I52</f>
        <v>13853.445275</v>
      </c>
      <c r="R52" s="14"/>
      <c r="S52" s="14"/>
      <c r="T52" s="14"/>
      <c r="U52" s="14"/>
      <c r="W52" s="71"/>
    </row>
    <row r="53" spans="1:23" ht="17.649999999999999" customHeight="1" x14ac:dyDescent="0.3">
      <c r="A53" s="122" t="s">
        <v>47</v>
      </c>
      <c r="B53" s="124">
        <f>PAGE_2!N53</f>
        <v>34.428571428571431</v>
      </c>
      <c r="C53" s="124">
        <f>PAGE_2!O53</f>
        <v>30.615381000000003</v>
      </c>
      <c r="D53" s="124">
        <f>PAGE_2!Q53</f>
        <v>1651.1428571428571</v>
      </c>
      <c r="E53" s="124">
        <f>PAGE_2!R53</f>
        <v>1468.267893</v>
      </c>
      <c r="F53" s="124">
        <f>PAGE_2!AG53</f>
        <v>80723.71428571429</v>
      </c>
      <c r="G53" s="124">
        <f>PAGE_2!AH53</f>
        <v>71783.030385999999</v>
      </c>
      <c r="H53" s="124">
        <f>PAGE_2!AJ53</f>
        <v>3730.2857142857142</v>
      </c>
      <c r="I53" s="124">
        <f>PAGE_2!AK53</f>
        <v>3317.1319619999999</v>
      </c>
      <c r="J53" s="124">
        <f>PAGE_3!I53</f>
        <v>278</v>
      </c>
      <c r="K53" s="124">
        <f>PAGE_3!J53</f>
        <v>247.209666</v>
      </c>
      <c r="L53" s="124">
        <f>PAGE_4!D53</f>
        <v>7904.4285714285716</v>
      </c>
      <c r="M53" s="124">
        <f>PAGE_4!E53</f>
        <v>7028.9609620000001</v>
      </c>
      <c r="N53" s="124">
        <f>PAGE_4!R53</f>
        <v>38121.999999999993</v>
      </c>
      <c r="O53" s="124">
        <f>PAGE_4!S53</f>
        <v>33899.737005508403</v>
      </c>
      <c r="P53" s="124">
        <f>PAGE_5!H53</f>
        <v>15217.428571428572</v>
      </c>
      <c r="Q53" s="124">
        <f>PAGE_5!I53</f>
        <v>13531.997966999999</v>
      </c>
      <c r="R53" s="14"/>
      <c r="S53" s="14"/>
      <c r="T53" s="14"/>
      <c r="U53" s="14"/>
      <c r="W53" s="71"/>
    </row>
    <row r="54" spans="1:23" ht="17.649999999999999" customHeight="1" x14ac:dyDescent="0.3">
      <c r="A54" s="122" t="s">
        <v>48</v>
      </c>
      <c r="B54" s="124">
        <f>PAGE_2!N54</f>
        <v>34.428571428571431</v>
      </c>
      <c r="C54" s="124">
        <f>PAGE_2!O54</f>
        <v>29.904999</v>
      </c>
      <c r="D54" s="124">
        <f>PAGE_2!Q54</f>
        <v>1651.1428571428571</v>
      </c>
      <c r="E54" s="124">
        <f>PAGE_2!R54</f>
        <v>1434.1990559999999</v>
      </c>
      <c r="F54" s="124">
        <f>PAGE_2!AG54</f>
        <v>80723.71428571429</v>
      </c>
      <c r="G54" s="124">
        <f>PAGE_2!AH54</f>
        <v>70117.418586</v>
      </c>
      <c r="H54" s="124">
        <f>PAGE_2!AJ54</f>
        <v>3730.2857142857142</v>
      </c>
      <c r="I54" s="124">
        <f>PAGE_2!AK54</f>
        <v>3240.1631560000001</v>
      </c>
      <c r="J54" s="124">
        <f>PAGE_3!I54</f>
        <v>278</v>
      </c>
      <c r="K54" s="124">
        <f>PAGE_3!J54</f>
        <v>241.47355699999997</v>
      </c>
      <c r="L54" s="124">
        <f>PAGE_4!D54</f>
        <v>7904.4285714285716</v>
      </c>
      <c r="M54" s="124">
        <f>PAGE_4!E54</f>
        <v>6865.8650280000002</v>
      </c>
      <c r="N54" s="124">
        <f>PAGE_4!R54</f>
        <v>38121.999999999993</v>
      </c>
      <c r="O54" s="124">
        <f>PAGE_4!S54</f>
        <v>33113.147171882054</v>
      </c>
      <c r="P54" s="124">
        <f>PAGE_5!H54</f>
        <v>15217.428571428572</v>
      </c>
      <c r="Q54" s="124">
        <f>PAGE_5!I54</f>
        <v>13218.009335000001</v>
      </c>
      <c r="R54" s="14"/>
      <c r="S54" s="14"/>
      <c r="T54" s="14"/>
      <c r="U54" s="14"/>
      <c r="W54" s="71"/>
    </row>
    <row r="55" spans="1:23" ht="17.649999999999999" customHeight="1" x14ac:dyDescent="0.3">
      <c r="A55" s="122" t="s">
        <v>49</v>
      </c>
      <c r="B55" s="124">
        <f>PAGE_2!N55</f>
        <v>34.428571428571431</v>
      </c>
      <c r="C55" s="124">
        <f>PAGE_2!O55</f>
        <v>29.211100999999996</v>
      </c>
      <c r="D55" s="124">
        <f>PAGE_2!Q55</f>
        <v>1651.1428571428571</v>
      </c>
      <c r="E55" s="124">
        <f>PAGE_2!R55</f>
        <v>1400.9207329999999</v>
      </c>
      <c r="F55" s="124">
        <f>PAGE_2!AG55</f>
        <v>80723.71428571429</v>
      </c>
      <c r="G55" s="124">
        <f>PAGE_2!AH55</f>
        <v>68490.454675999994</v>
      </c>
      <c r="H55" s="124">
        <f>PAGE_2!AJ55</f>
        <v>3730.2857142857142</v>
      </c>
      <c r="I55" s="124">
        <f>PAGE_2!AK55</f>
        <v>3164.98029</v>
      </c>
      <c r="J55" s="124">
        <f>PAGE_3!I55</f>
        <v>278</v>
      </c>
      <c r="K55" s="124">
        <f>PAGE_3!J55</f>
        <v>235.870544</v>
      </c>
      <c r="L55" s="124">
        <f>PAGE_4!D55</f>
        <v>7904.4285714285716</v>
      </c>
      <c r="M55" s="124">
        <f>PAGE_4!E55</f>
        <v>6706.5534780000007</v>
      </c>
      <c r="N55" s="124">
        <f>PAGE_4!R55</f>
        <v>38121.999999999993</v>
      </c>
      <c r="O55" s="124">
        <f>PAGE_4!S55</f>
        <v>32344.808910706881</v>
      </c>
      <c r="P55" s="124">
        <f>PAGE_5!H55</f>
        <v>15217.428571428572</v>
      </c>
      <c r="Q55" s="124">
        <f>PAGE_5!I55</f>
        <v>12911.306313000001</v>
      </c>
      <c r="R55" s="14"/>
      <c r="S55" s="14"/>
      <c r="T55" s="14"/>
      <c r="U55" s="14"/>
      <c r="W55" s="71"/>
    </row>
    <row r="56" spans="1:23" ht="17.649999999999999" customHeight="1" thickBot="1" x14ac:dyDescent="0.35">
      <c r="A56" s="122" t="s">
        <v>50</v>
      </c>
      <c r="B56" s="124">
        <f>PAGE_2!N56</f>
        <v>34.428571428571431</v>
      </c>
      <c r="C56" s="124">
        <f>PAGE_2!O56</f>
        <v>28.533304000000001</v>
      </c>
      <c r="D56" s="124">
        <f>PAGE_2!Q56</f>
        <v>1651.1428571428571</v>
      </c>
      <c r="E56" s="124">
        <f>PAGE_2!R56</f>
        <v>1368.414581</v>
      </c>
      <c r="F56" s="124">
        <f>PAGE_2!AG56</f>
        <v>80723.71428571429</v>
      </c>
      <c r="G56" s="124">
        <f>PAGE_2!AH56</f>
        <v>66901.241892999999</v>
      </c>
      <c r="H56" s="124">
        <f>PAGE_2!AJ56</f>
        <v>3730.2857142857142</v>
      </c>
      <c r="I56" s="124">
        <f>PAGE_2!AK56</f>
        <v>3091.5419230000002</v>
      </c>
      <c r="J56" s="124">
        <f>PAGE_3!I56</f>
        <v>278</v>
      </c>
      <c r="K56" s="124">
        <f>PAGE_3!J56</f>
        <v>230.39753999999999</v>
      </c>
      <c r="L56" s="124">
        <f>PAGE_4!D56</f>
        <v>7904.4285714285716</v>
      </c>
      <c r="M56" s="124">
        <f>PAGE_4!E56</f>
        <v>6550.9385009999996</v>
      </c>
      <c r="N56" s="124">
        <f>PAGE_4!R56</f>
        <v>38121.999999999993</v>
      </c>
      <c r="O56" s="124">
        <f>PAGE_4!S56</f>
        <v>31594.298724767195</v>
      </c>
      <c r="P56" s="124">
        <f>PAGE_5!H56</f>
        <v>15217.428571428572</v>
      </c>
      <c r="Q56" s="124">
        <f>PAGE_5!I56</f>
        <v>12611.719851</v>
      </c>
      <c r="R56" s="14"/>
      <c r="S56" s="14"/>
      <c r="T56" s="14"/>
      <c r="U56" s="14"/>
      <c r="W56" s="71"/>
    </row>
    <row r="57" spans="1:23" ht="17.649999999999999" customHeight="1" x14ac:dyDescent="0.3">
      <c r="A57" s="122" t="s">
        <v>51</v>
      </c>
      <c r="B57" s="133">
        <f t="shared" ref="B57:Q57" si="0">SUM(B7:B56)</f>
        <v>2817.857142857144</v>
      </c>
      <c r="C57" s="133">
        <f t="shared" si="0"/>
        <v>213.41697999999997</v>
      </c>
      <c r="D57" s="133">
        <f t="shared" si="0"/>
        <v>87953.285714285696</v>
      </c>
      <c r="E57" s="133">
        <f t="shared" si="0"/>
        <v>11902.039154000002</v>
      </c>
      <c r="F57" s="133">
        <f t="shared" si="0"/>
        <v>5074478.428571431</v>
      </c>
      <c r="G57" s="133">
        <f t="shared" si="0"/>
        <v>581885.93679399998</v>
      </c>
      <c r="H57" s="133">
        <f t="shared" si="0"/>
        <v>176335.57142857139</v>
      </c>
      <c r="I57" s="133">
        <f t="shared" si="0"/>
        <v>26889.258212000001</v>
      </c>
      <c r="J57" s="133">
        <f t="shared" si="0"/>
        <v>8381</v>
      </c>
      <c r="K57" s="133">
        <f t="shared" si="0"/>
        <v>1467.1272410000001</v>
      </c>
      <c r="L57" s="133">
        <f t="shared" si="0"/>
        <v>406077.85714285722</v>
      </c>
      <c r="M57" s="133">
        <f t="shared" si="0"/>
        <v>56978.000392999995</v>
      </c>
      <c r="N57" s="133">
        <f t="shared" si="0"/>
        <v>1775165</v>
      </c>
      <c r="O57" s="133">
        <f t="shared" si="0"/>
        <v>265142.62152971566</v>
      </c>
      <c r="P57" s="133">
        <f t="shared" si="0"/>
        <v>1581612.8571428577</v>
      </c>
      <c r="Q57" s="133">
        <f t="shared" si="0"/>
        <v>93140.852202999988</v>
      </c>
      <c r="R57" s="14"/>
      <c r="S57" s="14"/>
      <c r="T57" s="14"/>
      <c r="U57" s="14"/>
      <c r="W57" s="71"/>
    </row>
    <row r="58" spans="1:23" ht="17.649999999999999" customHeight="1" x14ac:dyDescent="0.3">
      <c r="A58" s="122" t="s">
        <v>72</v>
      </c>
      <c r="B58" s="124">
        <f>PAGE_2!N58</f>
        <v>34.428571428571431</v>
      </c>
      <c r="C58" s="124">
        <f>PAGE_2!O58</f>
        <v>0</v>
      </c>
      <c r="D58" s="124">
        <f>PAGE_2!Q58</f>
        <v>1651.1428571428571</v>
      </c>
      <c r="E58" s="124">
        <f>PAGE_2!R58</f>
        <v>0</v>
      </c>
      <c r="F58" s="124">
        <f>PAGE_2!AG58</f>
        <v>80723.71428571429</v>
      </c>
      <c r="G58" s="124">
        <f>PAGE_2!AH58</f>
        <v>0</v>
      </c>
      <c r="H58" s="124">
        <f>PAGE_2!AJ58</f>
        <v>3730.2857142857142</v>
      </c>
      <c r="I58" s="124">
        <f>PAGE_2!AK58</f>
        <v>0</v>
      </c>
      <c r="J58" s="124">
        <f>PAGE_3!I58</f>
        <v>278</v>
      </c>
      <c r="K58" s="124">
        <f>PAGE_3!J58</f>
        <v>0</v>
      </c>
      <c r="L58" s="124">
        <f>PAGE_4!D58</f>
        <v>7904.4285714285716</v>
      </c>
      <c r="M58" s="124">
        <f>PAGE_4!E58</f>
        <v>0</v>
      </c>
      <c r="N58" s="124">
        <f>PAGE_4!R58</f>
        <v>38121.999999999993</v>
      </c>
      <c r="O58" s="124">
        <f>PAGE_4!S58</f>
        <v>0</v>
      </c>
      <c r="P58" s="124">
        <f>PAGE_5!H58</f>
        <v>15217.428571428572</v>
      </c>
      <c r="Q58" s="124">
        <f>PAGE_5!I58</f>
        <v>0</v>
      </c>
      <c r="R58" s="14"/>
      <c r="S58" s="14"/>
      <c r="T58" s="14"/>
      <c r="U58" s="14"/>
      <c r="W58" s="71"/>
    </row>
    <row r="59" spans="1:23" ht="17.649999999999999" customHeight="1" x14ac:dyDescent="0.3">
      <c r="A59" s="122" t="s">
        <v>53</v>
      </c>
      <c r="B59" s="124">
        <f>PAGE_2!N59</f>
        <v>239.4285714285715</v>
      </c>
      <c r="C59" s="124">
        <f>PAGE_2!O59</f>
        <v>213.41697999999997</v>
      </c>
      <c r="D59" s="124">
        <f>PAGE_2!Q59</f>
        <v>13209.142857142857</v>
      </c>
      <c r="E59" s="124">
        <f>PAGE_2!R59</f>
        <v>11902.039154000002</v>
      </c>
      <c r="F59" s="124">
        <f>PAGE_2!AG59</f>
        <v>645789.71428571444</v>
      </c>
      <c r="G59" s="124">
        <f>PAGE_2!AH59</f>
        <v>581885.93679399998</v>
      </c>
      <c r="H59" s="124">
        <f>PAGE_2!AJ59</f>
        <v>29842.285714285714</v>
      </c>
      <c r="I59" s="124">
        <f>PAGE_2!AK59</f>
        <v>26889.258212000001</v>
      </c>
      <c r="J59" s="124">
        <f>PAGE_3!I59</f>
        <v>1668</v>
      </c>
      <c r="K59" s="124">
        <f>PAGE_3!J59</f>
        <v>1467.1272410000001</v>
      </c>
      <c r="L59" s="124">
        <f>PAGE_4!D59</f>
        <v>63235.428571428572</v>
      </c>
      <c r="M59" s="124">
        <f>PAGE_4!E59</f>
        <v>56978.000392999995</v>
      </c>
      <c r="N59" s="124">
        <f>PAGE_4!R59</f>
        <v>294975.99999999994</v>
      </c>
      <c r="O59" s="124">
        <f>PAGE_4!S59</f>
        <v>265142.62152971566</v>
      </c>
      <c r="P59" s="124">
        <f>PAGE_5!H59</f>
        <v>104595.42857142858</v>
      </c>
      <c r="Q59" s="124">
        <f>PAGE_5!I59</f>
        <v>93140.852202999988</v>
      </c>
      <c r="R59" s="14"/>
      <c r="S59" s="14"/>
      <c r="T59" s="14"/>
      <c r="U59" s="14"/>
      <c r="V59" s="11" t="s">
        <v>81</v>
      </c>
      <c r="W59" s="71"/>
    </row>
    <row r="60" spans="1:23" ht="24.95" customHeigh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4"/>
      <c r="S60" s="14"/>
      <c r="T60" s="14"/>
      <c r="U60" s="14"/>
      <c r="V60" s="11" t="s">
        <v>81</v>
      </c>
      <c r="W60" s="71"/>
    </row>
    <row r="61" spans="1:23" ht="24.9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14"/>
      <c r="S61" s="14"/>
      <c r="T61" s="14"/>
      <c r="U61" s="14"/>
      <c r="W61" s="71"/>
    </row>
    <row r="62" spans="1:23" ht="24.9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14"/>
      <c r="S62" s="14"/>
      <c r="T62" s="14"/>
      <c r="U62" s="14"/>
      <c r="W62" s="71"/>
    </row>
    <row r="63" spans="1:23" ht="24.9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14"/>
      <c r="S63" s="14"/>
      <c r="T63" s="14"/>
      <c r="U63" s="14"/>
      <c r="W63" s="71"/>
    </row>
    <row r="64" spans="1:23" ht="15" customHeight="1" x14ac:dyDescent="0.2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2" x14ac:dyDescent="0.2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2" x14ac:dyDescent="0.2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2" x14ac:dyDescent="0.2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2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2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2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2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72"/>
    </row>
    <row r="72" spans="1:22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72"/>
    </row>
    <row r="73" spans="1:22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72"/>
    </row>
    <row r="74" spans="1:22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72"/>
    </row>
    <row r="75" spans="1:22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2"/>
    </row>
    <row r="76" spans="1:22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72"/>
    </row>
    <row r="77" spans="1:22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72"/>
    </row>
    <row r="78" spans="1:22" x14ac:dyDescent="0.2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72"/>
    </row>
    <row r="79" spans="1:22" x14ac:dyDescent="0.2">
      <c r="V79" s="72"/>
    </row>
    <row r="80" spans="1:22" x14ac:dyDescent="0.2">
      <c r="V80" s="72"/>
    </row>
    <row r="81" spans="22:22" x14ac:dyDescent="0.2">
      <c r="V81" s="72"/>
    </row>
    <row r="82" spans="22:22" x14ac:dyDescent="0.2">
      <c r="V82" s="72"/>
    </row>
    <row r="83" spans="22:22" x14ac:dyDescent="0.2">
      <c r="V83" s="72"/>
    </row>
    <row r="84" spans="22:22" x14ac:dyDescent="0.2">
      <c r="V84" s="72"/>
    </row>
    <row r="85" spans="22:22" x14ac:dyDescent="0.2">
      <c r="V85" s="72"/>
    </row>
    <row r="86" spans="22:22" x14ac:dyDescent="0.2">
      <c r="V86" s="72"/>
    </row>
    <row r="87" spans="22:22" x14ac:dyDescent="0.2">
      <c r="V87" s="72"/>
    </row>
    <row r="88" spans="22:22" x14ac:dyDescent="0.2">
      <c r="V88" s="72"/>
    </row>
    <row r="89" spans="22:22" x14ac:dyDescent="0.2">
      <c r="V89" s="72"/>
    </row>
    <row r="90" spans="22:22" x14ac:dyDescent="0.2">
      <c r="V90" s="72"/>
    </row>
    <row r="91" spans="22:22" x14ac:dyDescent="0.2">
      <c r="V91" s="72"/>
    </row>
    <row r="92" spans="22:22" x14ac:dyDescent="0.2">
      <c r="V92" s="72"/>
    </row>
    <row r="93" spans="22:22" x14ac:dyDescent="0.2">
      <c r="V93" s="72"/>
    </row>
    <row r="94" spans="22:22" x14ac:dyDescent="0.2">
      <c r="V94" s="72"/>
    </row>
    <row r="95" spans="22:22" x14ac:dyDescent="0.2">
      <c r="V95" s="72"/>
    </row>
    <row r="96" spans="22:22" x14ac:dyDescent="0.2">
      <c r="V96" s="72"/>
    </row>
    <row r="97" spans="22:22" x14ac:dyDescent="0.2">
      <c r="V97" s="72"/>
    </row>
    <row r="98" spans="22:22" x14ac:dyDescent="0.2">
      <c r="V98" s="72"/>
    </row>
    <row r="99" spans="22:22" x14ac:dyDescent="0.2">
      <c r="V99" s="72"/>
    </row>
    <row r="100" spans="22:22" x14ac:dyDescent="0.2">
      <c r="V100" s="72"/>
    </row>
    <row r="101" spans="22:22" x14ac:dyDescent="0.2">
      <c r="V101" s="72"/>
    </row>
    <row r="102" spans="22:22" x14ac:dyDescent="0.2">
      <c r="V102" s="72"/>
    </row>
    <row r="103" spans="22:22" x14ac:dyDescent="0.2">
      <c r="V103" s="72"/>
    </row>
    <row r="104" spans="22:22" x14ac:dyDescent="0.2">
      <c r="V104" s="72"/>
    </row>
    <row r="105" spans="22:22" x14ac:dyDescent="0.2">
      <c r="V105" s="72"/>
    </row>
    <row r="106" spans="22:22" x14ac:dyDescent="0.2">
      <c r="V106" s="72"/>
    </row>
    <row r="107" spans="22:22" x14ac:dyDescent="0.2">
      <c r="V107" s="72"/>
    </row>
    <row r="108" spans="22:22" x14ac:dyDescent="0.2">
      <c r="V108" s="72"/>
    </row>
    <row r="109" spans="22:22" x14ac:dyDescent="0.2">
      <c r="V109" s="72"/>
    </row>
    <row r="110" spans="22:22" x14ac:dyDescent="0.2">
      <c r="V110" s="72"/>
    </row>
    <row r="111" spans="22:22" x14ac:dyDescent="0.2">
      <c r="V111" s="72"/>
    </row>
    <row r="112" spans="22:22" x14ac:dyDescent="0.2">
      <c r="V112" s="72"/>
    </row>
    <row r="113" spans="21:23" x14ac:dyDescent="0.2">
      <c r="V113" s="72"/>
    </row>
    <row r="114" spans="21:23" x14ac:dyDescent="0.2">
      <c r="V114" s="72"/>
    </row>
    <row r="115" spans="21:23" x14ac:dyDescent="0.2">
      <c r="V115" s="72"/>
    </row>
    <row r="116" spans="21:23" x14ac:dyDescent="0.2">
      <c r="V116" s="72"/>
    </row>
    <row r="117" spans="21:23" x14ac:dyDescent="0.2">
      <c r="V117" s="72"/>
    </row>
    <row r="118" spans="21:23" x14ac:dyDescent="0.2">
      <c r="V118" s="72"/>
    </row>
    <row r="119" spans="21:23" x14ac:dyDescent="0.2">
      <c r="V119" s="72"/>
    </row>
    <row r="120" spans="21:23" x14ac:dyDescent="0.2">
      <c r="V120" s="72"/>
    </row>
    <row r="121" spans="21:23" x14ac:dyDescent="0.2">
      <c r="U121" s="72" t="s">
        <v>81</v>
      </c>
      <c r="V121" s="72"/>
    </row>
    <row r="122" spans="21:23" x14ac:dyDescent="0.2">
      <c r="U122" s="72" t="s">
        <v>81</v>
      </c>
      <c r="V122" s="72"/>
    </row>
    <row r="123" spans="21:23" x14ac:dyDescent="0.2">
      <c r="U123" s="73" t="s">
        <v>81</v>
      </c>
      <c r="V123" s="73"/>
    </row>
    <row r="124" spans="21:23" x14ac:dyDescent="0.2">
      <c r="V124" s="72"/>
      <c r="W124" s="72" t="s">
        <v>81</v>
      </c>
    </row>
    <row r="125" spans="21:23" x14ac:dyDescent="0.2">
      <c r="W125" s="72" t="s">
        <v>81</v>
      </c>
    </row>
  </sheetData>
  <printOptions horizontalCentered="1"/>
  <pageMargins left="0" right="0" top="0" bottom="0" header="0.25" footer="0.25"/>
  <pageSetup scale="42" orientation="landscape" r:id="rId1"/>
  <headerFooter>
    <oddFooter>&amp;RSchedule A-13
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F7DA-D326-4B1A-8F53-483A4909EF82}">
  <sheetPr transitionEvaluation="1" transitionEntry="1"/>
  <dimension ref="A1:IN648"/>
  <sheetViews>
    <sheetView showZeros="0" defaultGridColor="0" view="pageBreakPreview" colorId="22" zoomScale="90" zoomScaleNormal="87" zoomScaleSheetLayoutView="90" workbookViewId="0">
      <selection activeCell="Q5" sqref="Q1:Q1048576"/>
    </sheetView>
  </sheetViews>
  <sheetFormatPr defaultColWidth="9.77734375" defaultRowHeight="15" x14ac:dyDescent="0.2"/>
  <cols>
    <col min="1" max="1" width="41.77734375" style="18" customWidth="1"/>
    <col min="2" max="2" width="8" style="11" customWidth="1"/>
    <col min="3" max="3" width="10.88671875" style="11" customWidth="1"/>
    <col min="4" max="4" width="9.77734375" style="11" bestFit="1" customWidth="1"/>
    <col min="5" max="5" width="8.88671875" style="11" customWidth="1"/>
    <col min="6" max="6" width="10.109375" style="11" bestFit="1" customWidth="1"/>
    <col min="7" max="7" width="12" style="11" customWidth="1"/>
    <col min="8" max="8" width="14.21875" style="11" customWidth="1"/>
    <col min="9" max="9" width="3" style="11" hidden="1" customWidth="1"/>
    <col min="10" max="10" width="14.44140625" style="11" customWidth="1"/>
    <col min="11" max="11" width="1.109375" style="11" hidden="1" customWidth="1"/>
    <col min="12" max="12" width="11.21875" style="11" bestFit="1" customWidth="1"/>
    <col min="13" max="13" width="3.6640625" style="11" hidden="1" customWidth="1"/>
    <col min="14" max="14" width="12" style="11" customWidth="1"/>
    <col min="15" max="15" width="3.88671875" style="11" hidden="1" customWidth="1"/>
    <col min="16" max="16" width="10.6640625" style="11" customWidth="1"/>
    <col min="17" max="17" width="10.5546875" style="11" bestFit="1" customWidth="1"/>
    <col min="18" max="18" width="2.5546875" style="11" hidden="1" customWidth="1"/>
    <col min="19" max="19" width="9.44140625" style="11" customWidth="1"/>
    <col min="20" max="20" width="2.21875" style="11" hidden="1" customWidth="1"/>
    <col min="21" max="21" width="9.5546875" style="11" bestFit="1" customWidth="1"/>
    <col min="22" max="22" width="0.77734375" style="11" hidden="1" customWidth="1"/>
    <col min="23" max="23" width="2.6640625" style="11" hidden="1" customWidth="1"/>
    <col min="24" max="24" width="9.21875" style="11" customWidth="1"/>
    <col min="25" max="25" width="1.109375" style="11" hidden="1" customWidth="1"/>
    <col min="26" max="26" width="10.44140625" style="11" customWidth="1"/>
    <col min="27" max="27" width="1.77734375" style="11" customWidth="1"/>
    <col min="28" max="16384" width="9.77734375" style="11"/>
  </cols>
  <sheetData>
    <row r="1" spans="1:248" s="1" customFormat="1" ht="20.25" x14ac:dyDescent="0.35">
      <c r="A1" s="180" t="s">
        <v>82</v>
      </c>
      <c r="B1" s="152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6"/>
      <c r="Z1" s="15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248" s="1" customFormat="1" ht="20.25" x14ac:dyDescent="0.35">
      <c r="A2" s="249" t="s">
        <v>83</v>
      </c>
      <c r="B2" s="152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6"/>
      <c r="Z2" s="15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248" s="1" customFormat="1" ht="20.25" x14ac:dyDescent="0.35">
      <c r="A3" s="250" t="s">
        <v>84</v>
      </c>
      <c r="B3" s="116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248" s="1" customFormat="1" ht="60.75" x14ac:dyDescent="0.35">
      <c r="A4" s="250" t="s">
        <v>85</v>
      </c>
      <c r="B4" s="116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248" s="1" customFormat="1" ht="81" x14ac:dyDescent="0.35">
      <c r="A5" s="250" t="s">
        <v>86</v>
      </c>
      <c r="B5" s="116"/>
      <c r="C5" s="116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248" s="51" customFormat="1" ht="111" customHeight="1" x14ac:dyDescent="0.3">
      <c r="A6" s="246" t="s">
        <v>0</v>
      </c>
      <c r="B6" s="253" t="s">
        <v>304</v>
      </c>
      <c r="C6" s="254" t="s">
        <v>305</v>
      </c>
      <c r="D6" s="255" t="s">
        <v>306</v>
      </c>
      <c r="E6" s="256" t="s">
        <v>307</v>
      </c>
      <c r="F6" s="253" t="s">
        <v>308</v>
      </c>
      <c r="G6" s="254" t="s">
        <v>309</v>
      </c>
      <c r="H6" s="253" t="s">
        <v>310</v>
      </c>
      <c r="I6" s="257" t="s">
        <v>186</v>
      </c>
      <c r="J6" s="258" t="s">
        <v>311</v>
      </c>
      <c r="K6" s="259" t="s">
        <v>187</v>
      </c>
      <c r="L6" s="253" t="s">
        <v>312</v>
      </c>
      <c r="M6" s="257" t="s">
        <v>188</v>
      </c>
      <c r="N6" s="258" t="s">
        <v>313</v>
      </c>
      <c r="O6" s="259" t="s">
        <v>189</v>
      </c>
      <c r="P6" s="253" t="s">
        <v>171</v>
      </c>
      <c r="Q6" s="258" t="s">
        <v>172</v>
      </c>
      <c r="R6" s="259" t="s">
        <v>191</v>
      </c>
      <c r="S6" s="253" t="s">
        <v>173</v>
      </c>
      <c r="T6" s="257" t="s">
        <v>192</v>
      </c>
      <c r="U6" s="258" t="s">
        <v>174</v>
      </c>
      <c r="V6" s="259" t="s">
        <v>193</v>
      </c>
      <c r="W6" s="259" t="s">
        <v>194</v>
      </c>
      <c r="X6" s="253" t="s">
        <v>175</v>
      </c>
      <c r="Y6" s="257" t="s">
        <v>195</v>
      </c>
      <c r="Z6" s="258" t="s">
        <v>176</v>
      </c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248" ht="17.649999999999999" customHeight="1" x14ac:dyDescent="0.35">
      <c r="A7" s="122" t="s">
        <v>4</v>
      </c>
      <c r="B7" s="124">
        <v>167</v>
      </c>
      <c r="C7" s="124"/>
      <c r="D7" s="124">
        <v>44534</v>
      </c>
      <c r="E7" s="124"/>
      <c r="F7" s="124">
        <v>0</v>
      </c>
      <c r="G7" s="124"/>
      <c r="H7" s="124">
        <v>2145</v>
      </c>
      <c r="I7" s="124"/>
      <c r="J7" s="124"/>
      <c r="K7" s="130"/>
      <c r="L7" s="127">
        <v>0</v>
      </c>
      <c r="M7" s="124"/>
      <c r="N7" s="124"/>
      <c r="O7" s="130"/>
      <c r="P7" s="124">
        <v>12231</v>
      </c>
      <c r="Q7" s="124"/>
      <c r="R7" s="130"/>
      <c r="S7" s="124">
        <v>368</v>
      </c>
      <c r="T7" s="124"/>
      <c r="U7" s="124"/>
      <c r="V7" s="130"/>
      <c r="W7" s="130"/>
      <c r="X7" s="124">
        <v>521.4028571428571</v>
      </c>
      <c r="Y7" s="174"/>
      <c r="Z7" s="174"/>
      <c r="AA7" s="22"/>
      <c r="AB7" s="33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 ht="17.649999999999999" customHeight="1" x14ac:dyDescent="0.35">
      <c r="A8" s="122" t="s">
        <v>5</v>
      </c>
      <c r="B8" s="124">
        <v>149</v>
      </c>
      <c r="C8" s="124"/>
      <c r="D8" s="124">
        <v>10879</v>
      </c>
      <c r="E8" s="124"/>
      <c r="F8" s="124">
        <v>0</v>
      </c>
      <c r="G8" s="124"/>
      <c r="H8" s="124">
        <v>7787</v>
      </c>
      <c r="I8" s="124"/>
      <c r="J8" s="124"/>
      <c r="K8" s="130"/>
      <c r="L8" s="127">
        <v>0</v>
      </c>
      <c r="M8" s="124"/>
      <c r="N8" s="124"/>
      <c r="O8" s="130"/>
      <c r="P8" s="124">
        <v>10865</v>
      </c>
      <c r="Q8" s="124"/>
      <c r="R8" s="130"/>
      <c r="S8" s="124">
        <v>335</v>
      </c>
      <c r="T8" s="124"/>
      <c r="U8" s="124"/>
      <c r="V8" s="130"/>
      <c r="W8" s="130"/>
      <c r="X8" s="124">
        <v>358.49428571428575</v>
      </c>
      <c r="Y8" s="174"/>
      <c r="Z8" s="174"/>
      <c r="AA8" s="22"/>
      <c r="AB8" s="33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 ht="17.649999999999999" customHeight="1" x14ac:dyDescent="0.35">
      <c r="A9" s="122" t="s">
        <v>6</v>
      </c>
      <c r="B9" s="124">
        <v>176</v>
      </c>
      <c r="C9" s="124"/>
      <c r="D9" s="124">
        <v>44786</v>
      </c>
      <c r="E9" s="124"/>
      <c r="F9" s="124">
        <v>0</v>
      </c>
      <c r="G9" s="124"/>
      <c r="H9" s="124">
        <v>2636</v>
      </c>
      <c r="I9" s="124"/>
      <c r="J9" s="124"/>
      <c r="K9" s="130"/>
      <c r="L9" s="127">
        <v>0</v>
      </c>
      <c r="M9" s="124"/>
      <c r="N9" s="124"/>
      <c r="O9" s="130"/>
      <c r="P9" s="124">
        <v>11122</v>
      </c>
      <c r="Q9" s="124"/>
      <c r="R9" s="130"/>
      <c r="S9" s="124">
        <v>315</v>
      </c>
      <c r="T9" s="124"/>
      <c r="U9" s="124"/>
      <c r="V9" s="130"/>
      <c r="W9" s="130"/>
      <c r="X9" s="124">
        <v>459.25428571428574</v>
      </c>
      <c r="Y9" s="174"/>
      <c r="Z9" s="174"/>
      <c r="AA9" s="22"/>
      <c r="AB9" s="33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7.649999999999999" customHeight="1" x14ac:dyDescent="0.35">
      <c r="A10" s="122" t="s">
        <v>7</v>
      </c>
      <c r="B10" s="124">
        <v>154</v>
      </c>
      <c r="C10" s="124"/>
      <c r="D10" s="124">
        <v>53584</v>
      </c>
      <c r="E10" s="124"/>
      <c r="F10" s="124">
        <v>0</v>
      </c>
      <c r="G10" s="124"/>
      <c r="H10" s="124">
        <v>5459</v>
      </c>
      <c r="I10" s="124"/>
      <c r="J10" s="124"/>
      <c r="K10" s="130"/>
      <c r="L10" s="127">
        <v>0</v>
      </c>
      <c r="M10" s="124"/>
      <c r="N10" s="124"/>
      <c r="O10" s="130"/>
      <c r="P10" s="124">
        <v>13295</v>
      </c>
      <c r="Q10" s="124"/>
      <c r="R10" s="130"/>
      <c r="S10" s="124">
        <v>373</v>
      </c>
      <c r="T10" s="124"/>
      <c r="U10" s="124"/>
      <c r="V10" s="130"/>
      <c r="W10" s="130"/>
      <c r="X10" s="124">
        <v>552.48476190476197</v>
      </c>
      <c r="Y10" s="174"/>
      <c r="Z10" s="174"/>
      <c r="AA10" s="22"/>
      <c r="AB10" s="33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7.649999999999999" customHeight="1" x14ac:dyDescent="0.35">
      <c r="A11" s="122" t="s">
        <v>8</v>
      </c>
      <c r="B11" s="124">
        <v>80</v>
      </c>
      <c r="C11" s="124"/>
      <c r="D11" s="124">
        <v>56282</v>
      </c>
      <c r="E11" s="124"/>
      <c r="F11" s="124">
        <v>0</v>
      </c>
      <c r="G11" s="124"/>
      <c r="H11" s="124">
        <v>4901</v>
      </c>
      <c r="I11" s="124"/>
      <c r="J11" s="124"/>
      <c r="K11" s="130"/>
      <c r="L11" s="127">
        <v>0</v>
      </c>
      <c r="M11" s="124"/>
      <c r="N11" s="124"/>
      <c r="O11" s="130"/>
      <c r="P11" s="124">
        <v>12885</v>
      </c>
      <c r="Q11" s="124"/>
      <c r="R11" s="130"/>
      <c r="S11" s="124">
        <v>437</v>
      </c>
      <c r="T11" s="124"/>
      <c r="U11" s="124"/>
      <c r="V11" s="130"/>
      <c r="W11" s="130"/>
      <c r="X11" s="124">
        <v>490.62190476190477</v>
      </c>
      <c r="Y11" s="174"/>
      <c r="Z11" s="174"/>
      <c r="AA11" s="22"/>
      <c r="AB11" s="33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6.5" customHeight="1" x14ac:dyDescent="0.35">
      <c r="A12" s="122" t="s">
        <v>9</v>
      </c>
      <c r="B12" s="124">
        <v>118</v>
      </c>
      <c r="C12" s="124"/>
      <c r="D12" s="124">
        <v>35355</v>
      </c>
      <c r="E12" s="124"/>
      <c r="F12" s="124">
        <v>0</v>
      </c>
      <c r="G12" s="124"/>
      <c r="H12" s="124">
        <v>3663</v>
      </c>
      <c r="I12" s="124"/>
      <c r="J12" s="124"/>
      <c r="K12" s="130"/>
      <c r="L12" s="127">
        <v>0</v>
      </c>
      <c r="M12" s="124"/>
      <c r="N12" s="124"/>
      <c r="O12" s="130"/>
      <c r="P12" s="124">
        <v>14710</v>
      </c>
      <c r="Q12" s="124"/>
      <c r="R12" s="130"/>
      <c r="S12" s="124">
        <v>405</v>
      </c>
      <c r="T12" s="124"/>
      <c r="U12" s="124"/>
      <c r="V12" s="130"/>
      <c r="W12" s="130"/>
      <c r="X12" s="124">
        <v>575.41047619047617</v>
      </c>
      <c r="Y12" s="174"/>
      <c r="Z12" s="174"/>
      <c r="AA12" s="22"/>
      <c r="AB12" s="33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6.5" customHeight="1" x14ac:dyDescent="0.35">
      <c r="A13" s="122" t="s">
        <v>10</v>
      </c>
      <c r="B13" s="124">
        <v>166</v>
      </c>
      <c r="C13" s="124"/>
      <c r="D13" s="124">
        <v>57903</v>
      </c>
      <c r="E13" s="124"/>
      <c r="F13" s="124">
        <v>0</v>
      </c>
      <c r="G13" s="124"/>
      <c r="H13" s="124">
        <v>6164</v>
      </c>
      <c r="I13" s="124"/>
      <c r="J13" s="124"/>
      <c r="K13" s="130"/>
      <c r="L13" s="124">
        <v>20784</v>
      </c>
      <c r="M13" s="124"/>
      <c r="N13" s="124"/>
      <c r="O13" s="130"/>
      <c r="P13" s="124">
        <v>13627</v>
      </c>
      <c r="Q13" s="124"/>
      <c r="R13" s="130"/>
      <c r="S13" s="124">
        <v>433</v>
      </c>
      <c r="T13" s="124"/>
      <c r="U13" s="124"/>
      <c r="V13" s="130"/>
      <c r="W13" s="130"/>
      <c r="X13" s="124">
        <v>811.64761904761917</v>
      </c>
      <c r="Y13" s="174"/>
      <c r="Z13" s="174"/>
      <c r="AA13" s="22"/>
      <c r="AB13" s="33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5" customHeight="1" x14ac:dyDescent="0.35">
      <c r="A14" s="122" t="s">
        <v>11</v>
      </c>
      <c r="B14" s="124">
        <v>192</v>
      </c>
      <c r="C14" s="124"/>
      <c r="D14" s="124">
        <v>45578</v>
      </c>
      <c r="E14" s="124"/>
      <c r="F14" s="124">
        <v>0</v>
      </c>
      <c r="G14" s="124"/>
      <c r="H14" s="124">
        <v>5378</v>
      </c>
      <c r="I14" s="124"/>
      <c r="J14" s="124"/>
      <c r="K14" s="130"/>
      <c r="L14" s="124">
        <v>75065</v>
      </c>
      <c r="M14" s="124"/>
      <c r="N14" s="124"/>
      <c r="O14" s="130"/>
      <c r="P14" s="124">
        <v>13727</v>
      </c>
      <c r="Q14" s="124"/>
      <c r="R14" s="130"/>
      <c r="S14" s="124">
        <v>441</v>
      </c>
      <c r="T14" s="124"/>
      <c r="U14" s="124"/>
      <c r="V14" s="130"/>
      <c r="W14" s="130"/>
      <c r="X14" s="124">
        <v>829.70285714285717</v>
      </c>
      <c r="Y14" s="174"/>
      <c r="Z14" s="174"/>
      <c r="AA14" s="22"/>
      <c r="AB14" s="33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6.5" customHeight="1" x14ac:dyDescent="0.35">
      <c r="A15" s="122" t="s">
        <v>12</v>
      </c>
      <c r="B15" s="124">
        <v>274</v>
      </c>
      <c r="C15" s="124"/>
      <c r="D15" s="124">
        <v>54880</v>
      </c>
      <c r="E15" s="124"/>
      <c r="F15" s="124">
        <v>0</v>
      </c>
      <c r="G15" s="124"/>
      <c r="H15" s="124">
        <v>7109</v>
      </c>
      <c r="I15" s="124"/>
      <c r="J15" s="124"/>
      <c r="K15" s="130"/>
      <c r="L15" s="124">
        <v>94615</v>
      </c>
      <c r="M15" s="124"/>
      <c r="N15" s="124"/>
      <c r="O15" s="130"/>
      <c r="P15" s="124">
        <v>14831</v>
      </c>
      <c r="Q15" s="124"/>
      <c r="R15" s="130"/>
      <c r="S15" s="124">
        <v>489</v>
      </c>
      <c r="T15" s="124"/>
      <c r="U15" s="124"/>
      <c r="V15" s="130"/>
      <c r="W15" s="130"/>
      <c r="X15" s="124">
        <v>808.3</v>
      </c>
      <c r="Y15" s="174"/>
      <c r="Z15" s="174"/>
      <c r="AA15" s="22"/>
      <c r="AB15" s="33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 customHeight="1" x14ac:dyDescent="0.35">
      <c r="A16" s="122" t="s">
        <v>13</v>
      </c>
      <c r="B16" s="124">
        <v>171</v>
      </c>
      <c r="C16" s="124"/>
      <c r="D16" s="124">
        <v>43692</v>
      </c>
      <c r="E16" s="124"/>
      <c r="F16" s="124">
        <v>9</v>
      </c>
      <c r="G16" s="124"/>
      <c r="H16" s="124">
        <v>8257</v>
      </c>
      <c r="I16" s="124"/>
      <c r="J16" s="124"/>
      <c r="K16" s="130"/>
      <c r="L16" s="124">
        <v>65390</v>
      </c>
      <c r="M16" s="124"/>
      <c r="N16" s="124"/>
      <c r="O16" s="130"/>
      <c r="P16" s="124">
        <v>12468</v>
      </c>
      <c r="Q16" s="124"/>
      <c r="R16" s="130"/>
      <c r="S16" s="124">
        <v>528</v>
      </c>
      <c r="T16" s="124"/>
      <c r="U16" s="124"/>
      <c r="V16" s="130"/>
      <c r="W16" s="130"/>
      <c r="X16" s="124">
        <v>1600.982857142857</v>
      </c>
      <c r="Y16" s="174"/>
      <c r="Z16" s="174"/>
      <c r="AA16" s="22"/>
      <c r="AB16" s="33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ht="16.5" customHeight="1" x14ac:dyDescent="0.35">
      <c r="A17" s="122" t="s">
        <v>14</v>
      </c>
      <c r="B17" s="124">
        <v>358</v>
      </c>
      <c r="C17" s="124"/>
      <c r="D17" s="124">
        <v>60670</v>
      </c>
      <c r="E17" s="124"/>
      <c r="F17" s="124">
        <v>139</v>
      </c>
      <c r="G17" s="124"/>
      <c r="H17" s="124">
        <v>7753</v>
      </c>
      <c r="I17" s="124"/>
      <c r="J17" s="124"/>
      <c r="K17" s="130"/>
      <c r="L17" s="124">
        <v>53352</v>
      </c>
      <c r="M17" s="124"/>
      <c r="N17" s="124"/>
      <c r="O17" s="130"/>
      <c r="P17" s="124">
        <v>10067</v>
      </c>
      <c r="Q17" s="124"/>
      <c r="R17" s="130"/>
      <c r="S17" s="124">
        <v>461</v>
      </c>
      <c r="T17" s="124"/>
      <c r="U17" s="124"/>
      <c r="V17" s="130"/>
      <c r="W17" s="130"/>
      <c r="X17" s="124">
        <v>1225.9847619047619</v>
      </c>
      <c r="Y17" s="174"/>
      <c r="Z17" s="174"/>
      <c r="AA17" s="22"/>
      <c r="AB17" s="33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ht="16.5" customHeight="1" x14ac:dyDescent="0.35">
      <c r="A18" s="122" t="s">
        <v>15</v>
      </c>
      <c r="B18" s="124">
        <v>398</v>
      </c>
      <c r="C18" s="124"/>
      <c r="D18" s="124">
        <v>46479</v>
      </c>
      <c r="E18" s="124"/>
      <c r="F18" s="124">
        <v>0</v>
      </c>
      <c r="G18" s="124"/>
      <c r="H18" s="124">
        <v>7601</v>
      </c>
      <c r="I18" s="124"/>
      <c r="J18" s="124"/>
      <c r="K18" s="130"/>
      <c r="L18" s="124">
        <v>69530</v>
      </c>
      <c r="M18" s="124"/>
      <c r="N18" s="124"/>
      <c r="O18" s="130"/>
      <c r="P18" s="124">
        <v>14624</v>
      </c>
      <c r="Q18" s="124"/>
      <c r="R18" s="130"/>
      <c r="S18" s="124">
        <v>474</v>
      </c>
      <c r="T18" s="124"/>
      <c r="U18" s="124"/>
      <c r="V18" s="130"/>
      <c r="W18" s="130"/>
      <c r="X18" s="124">
        <v>901.12476190476184</v>
      </c>
      <c r="Y18" s="174"/>
      <c r="Z18" s="174"/>
      <c r="AA18" s="22"/>
      <c r="AB18" s="33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16.5" customHeight="1" x14ac:dyDescent="0.35">
      <c r="A19" s="122" t="s">
        <v>16</v>
      </c>
      <c r="B19" s="124">
        <v>295</v>
      </c>
      <c r="C19" s="124"/>
      <c r="D19" s="124">
        <v>73515</v>
      </c>
      <c r="E19" s="124"/>
      <c r="F19" s="124">
        <v>0</v>
      </c>
      <c r="G19" s="124"/>
      <c r="H19" s="124">
        <v>8314</v>
      </c>
      <c r="I19" s="124"/>
      <c r="J19" s="124"/>
      <c r="K19" s="130"/>
      <c r="L19" s="124">
        <v>56066</v>
      </c>
      <c r="M19" s="124"/>
      <c r="N19" s="124"/>
      <c r="O19" s="130"/>
      <c r="P19" s="124">
        <v>11295</v>
      </c>
      <c r="Q19" s="124"/>
      <c r="R19" s="130"/>
      <c r="S19" s="124">
        <v>492</v>
      </c>
      <c r="T19" s="124"/>
      <c r="U19" s="124"/>
      <c r="V19" s="130"/>
      <c r="W19" s="130"/>
      <c r="X19" s="124">
        <v>2496.6542857142858</v>
      </c>
      <c r="Y19" s="174"/>
      <c r="Z19" s="174"/>
      <c r="AA19" s="22"/>
      <c r="AB19" s="33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ht="15" customHeight="1" x14ac:dyDescent="0.35">
      <c r="A20" s="122" t="s">
        <v>17</v>
      </c>
      <c r="B20" s="124">
        <v>287</v>
      </c>
      <c r="C20" s="124"/>
      <c r="D20" s="124">
        <v>53136</v>
      </c>
      <c r="E20" s="124"/>
      <c r="F20" s="124">
        <v>0</v>
      </c>
      <c r="G20" s="124"/>
      <c r="H20" s="124">
        <v>9321</v>
      </c>
      <c r="I20" s="124"/>
      <c r="J20" s="124"/>
      <c r="K20" s="130"/>
      <c r="L20" s="124">
        <v>81842</v>
      </c>
      <c r="M20" s="124"/>
      <c r="N20" s="124"/>
      <c r="O20" s="130"/>
      <c r="P20" s="124">
        <v>13890</v>
      </c>
      <c r="Q20" s="124"/>
      <c r="R20" s="130"/>
      <c r="S20" s="124">
        <v>484</v>
      </c>
      <c r="T20" s="124"/>
      <c r="U20" s="124"/>
      <c r="V20" s="130"/>
      <c r="W20" s="130"/>
      <c r="X20" s="124">
        <v>1210.5647619047618</v>
      </c>
      <c r="Y20" s="174"/>
      <c r="Z20" s="174"/>
      <c r="AA20" s="22"/>
      <c r="AB20" s="33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ht="17.649999999999999" customHeight="1" x14ac:dyDescent="0.35">
      <c r="A21" s="122" t="s">
        <v>18</v>
      </c>
      <c r="B21" s="124">
        <v>323</v>
      </c>
      <c r="C21" s="124"/>
      <c r="D21" s="124">
        <v>28375</v>
      </c>
      <c r="E21" s="124"/>
      <c r="F21" s="124">
        <v>0</v>
      </c>
      <c r="G21" s="124"/>
      <c r="H21" s="124">
        <v>8671</v>
      </c>
      <c r="I21" s="124"/>
      <c r="J21" s="124"/>
      <c r="K21" s="130"/>
      <c r="L21" s="124">
        <v>75311</v>
      </c>
      <c r="M21" s="124"/>
      <c r="N21" s="124"/>
      <c r="O21" s="130"/>
      <c r="P21" s="124">
        <v>12446</v>
      </c>
      <c r="Q21" s="124"/>
      <c r="R21" s="130"/>
      <c r="S21" s="124">
        <v>469</v>
      </c>
      <c r="T21" s="124"/>
      <c r="U21" s="124"/>
      <c r="V21" s="130"/>
      <c r="W21" s="130"/>
      <c r="X21" s="124">
        <v>2139.5552380952381</v>
      </c>
      <c r="Y21" s="174"/>
      <c r="Z21" s="174"/>
      <c r="AA21" s="22"/>
      <c r="AB21" s="33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7.649999999999999" customHeight="1" x14ac:dyDescent="0.35">
      <c r="A22" s="122" t="s">
        <v>19</v>
      </c>
      <c r="B22" s="124">
        <v>211</v>
      </c>
      <c r="C22" s="124"/>
      <c r="D22" s="124">
        <v>100766</v>
      </c>
      <c r="E22" s="124"/>
      <c r="F22" s="124">
        <v>8488</v>
      </c>
      <c r="G22" s="124"/>
      <c r="H22" s="124">
        <v>10771</v>
      </c>
      <c r="I22" s="124"/>
      <c r="J22" s="124"/>
      <c r="K22" s="130"/>
      <c r="L22" s="124">
        <v>100568</v>
      </c>
      <c r="M22" s="124"/>
      <c r="N22" s="124"/>
      <c r="O22" s="130"/>
      <c r="P22" s="124">
        <v>21544</v>
      </c>
      <c r="Q22" s="124"/>
      <c r="R22" s="130"/>
      <c r="S22" s="124">
        <v>472</v>
      </c>
      <c r="T22" s="124"/>
      <c r="U22" s="124"/>
      <c r="V22" s="130"/>
      <c r="W22" s="130"/>
      <c r="X22" s="124">
        <v>2028.7847619047618</v>
      </c>
      <c r="Y22" s="174"/>
      <c r="Z22" s="174"/>
      <c r="AA22" s="22"/>
      <c r="AB22" s="33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6.5" customHeight="1" x14ac:dyDescent="0.35">
      <c r="A23" s="122" t="s">
        <v>20</v>
      </c>
      <c r="B23" s="124">
        <v>188</v>
      </c>
      <c r="C23" s="124"/>
      <c r="D23" s="124">
        <v>64163</v>
      </c>
      <c r="E23" s="124"/>
      <c r="F23" s="124">
        <v>17797</v>
      </c>
      <c r="G23" s="124"/>
      <c r="H23" s="124">
        <v>7765</v>
      </c>
      <c r="I23" s="124"/>
      <c r="J23" s="124"/>
      <c r="K23" s="130"/>
      <c r="L23" s="124">
        <v>81090</v>
      </c>
      <c r="M23" s="124"/>
      <c r="N23" s="124"/>
      <c r="O23" s="130"/>
      <c r="P23" s="124">
        <v>21309</v>
      </c>
      <c r="Q23" s="124"/>
      <c r="R23" s="130"/>
      <c r="S23" s="124">
        <v>491</v>
      </c>
      <c r="T23" s="124"/>
      <c r="U23" s="124"/>
      <c r="V23" s="130"/>
      <c r="W23" s="130"/>
      <c r="X23" s="124">
        <v>2511.2371428571428</v>
      </c>
      <c r="Y23" s="174"/>
      <c r="Z23" s="174"/>
      <c r="AA23" s="22"/>
      <c r="AB23" s="33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ht="16.5" customHeight="1" x14ac:dyDescent="0.35">
      <c r="A24" s="122" t="s">
        <v>21</v>
      </c>
      <c r="B24" s="124">
        <v>164</v>
      </c>
      <c r="C24" s="124"/>
      <c r="D24" s="124">
        <v>16479</v>
      </c>
      <c r="E24" s="124"/>
      <c r="F24" s="124">
        <v>18373</v>
      </c>
      <c r="G24" s="124"/>
      <c r="H24" s="124">
        <v>13452</v>
      </c>
      <c r="I24" s="124"/>
      <c r="J24" s="124"/>
      <c r="K24" s="124"/>
      <c r="L24" s="124">
        <v>21792</v>
      </c>
      <c r="M24" s="124"/>
      <c r="N24" s="124"/>
      <c r="O24" s="124"/>
      <c r="P24" s="124">
        <v>9480</v>
      </c>
      <c r="Q24" s="124"/>
      <c r="R24" s="124"/>
      <c r="S24" s="124">
        <v>537</v>
      </c>
      <c r="T24" s="124"/>
      <c r="U24" s="124"/>
      <c r="V24" s="124"/>
      <c r="W24" s="124"/>
      <c r="X24" s="124">
        <v>2344.4485714285711</v>
      </c>
      <c r="Y24" s="174"/>
      <c r="Z24" s="174"/>
      <c r="AA24" s="21"/>
      <c r="AB24" s="33"/>
      <c r="AC24" s="21"/>
      <c r="AD24" s="21"/>
      <c r="AE24" s="21"/>
      <c r="AF24" s="22"/>
      <c r="AG24" s="22"/>
      <c r="AH24" s="22"/>
      <c r="AI24" s="22"/>
      <c r="AJ24" s="22"/>
      <c r="AK24" s="22"/>
      <c r="AL24" s="22"/>
      <c r="AM24" s="22"/>
      <c r="AN24" s="22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ht="17.850000000000001" customHeight="1" x14ac:dyDescent="0.35">
      <c r="A25" s="122" t="s">
        <v>22</v>
      </c>
      <c r="B25" s="125">
        <v>180</v>
      </c>
      <c r="C25" s="125" t="s">
        <v>23</v>
      </c>
      <c r="D25" s="124">
        <v>100354</v>
      </c>
      <c r="E25" s="124"/>
      <c r="F25" s="124">
        <v>22780</v>
      </c>
      <c r="G25" s="124"/>
      <c r="H25" s="124">
        <v>10104</v>
      </c>
      <c r="I25" s="124"/>
      <c r="J25" s="125"/>
      <c r="K25" s="125"/>
      <c r="L25" s="124">
        <v>181070</v>
      </c>
      <c r="M25" s="124"/>
      <c r="N25" s="124"/>
      <c r="O25" s="125"/>
      <c r="P25" s="125">
        <v>223</v>
      </c>
      <c r="Q25" s="124"/>
      <c r="R25" s="124"/>
      <c r="S25" s="125">
        <v>572</v>
      </c>
      <c r="T25" s="125"/>
      <c r="U25" s="124"/>
      <c r="V25" s="124"/>
      <c r="W25" s="124"/>
      <c r="X25" s="125">
        <v>2176.7066666666669</v>
      </c>
      <c r="Y25" s="186"/>
      <c r="Z25" s="174"/>
      <c r="AA25" s="21"/>
      <c r="AB25" s="33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ht="17.850000000000001" customHeight="1" x14ac:dyDescent="0.35">
      <c r="A26" s="122" t="s">
        <v>24</v>
      </c>
      <c r="B26" s="124">
        <v>199</v>
      </c>
      <c r="C26" s="124"/>
      <c r="D26" s="124">
        <v>64370</v>
      </c>
      <c r="E26" s="124"/>
      <c r="F26" s="124">
        <v>12112</v>
      </c>
      <c r="G26" s="124"/>
      <c r="H26" s="124">
        <v>12552</v>
      </c>
      <c r="I26" s="124"/>
      <c r="J26" s="124"/>
      <c r="K26" s="130"/>
      <c r="L26" s="124">
        <v>76267</v>
      </c>
      <c r="M26" s="124"/>
      <c r="N26" s="124"/>
      <c r="O26" s="130"/>
      <c r="P26" s="124">
        <v>16690</v>
      </c>
      <c r="Q26" s="124"/>
      <c r="R26" s="130"/>
      <c r="S26" s="124">
        <v>529</v>
      </c>
      <c r="T26" s="124"/>
      <c r="U26" s="124"/>
      <c r="V26" s="130"/>
      <c r="W26" s="130"/>
      <c r="X26" s="124">
        <v>3297.5361904761908</v>
      </c>
      <c r="Y26" s="174"/>
      <c r="Z26" s="174"/>
      <c r="AA26" s="22"/>
      <c r="AB26" s="33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ht="17.850000000000001" customHeight="1" x14ac:dyDescent="0.35">
      <c r="A27" s="122" t="s">
        <v>25</v>
      </c>
      <c r="B27" s="124">
        <v>301</v>
      </c>
      <c r="C27" s="124"/>
      <c r="D27" s="124">
        <v>61536</v>
      </c>
      <c r="E27" s="124"/>
      <c r="F27" s="124">
        <v>6233</v>
      </c>
      <c r="G27" s="124"/>
      <c r="H27" s="124">
        <v>12453</v>
      </c>
      <c r="I27" s="124"/>
      <c r="J27" s="124"/>
      <c r="K27" s="130"/>
      <c r="L27" s="124">
        <v>127216</v>
      </c>
      <c r="M27" s="124"/>
      <c r="N27" s="124"/>
      <c r="O27" s="130"/>
      <c r="P27" s="124">
        <v>10993</v>
      </c>
      <c r="Q27" s="124"/>
      <c r="R27" s="130"/>
      <c r="S27" s="124">
        <v>556</v>
      </c>
      <c r="T27" s="124"/>
      <c r="U27" s="124"/>
      <c r="V27" s="130"/>
      <c r="W27" s="130"/>
      <c r="X27" s="124">
        <v>1766.0219047619048</v>
      </c>
      <c r="Y27" s="174"/>
      <c r="Z27" s="174"/>
      <c r="AA27" s="22"/>
      <c r="AB27" s="33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ht="17.850000000000001" customHeight="1" x14ac:dyDescent="0.35">
      <c r="A28" s="122" t="s">
        <v>101</v>
      </c>
      <c r="B28" s="124">
        <v>314</v>
      </c>
      <c r="C28" s="124"/>
      <c r="D28" s="124">
        <v>64589</v>
      </c>
      <c r="E28" s="124"/>
      <c r="F28" s="124">
        <v>2413</v>
      </c>
      <c r="G28" s="124"/>
      <c r="H28" s="124">
        <v>4358</v>
      </c>
      <c r="I28" s="124"/>
      <c r="J28" s="124"/>
      <c r="K28" s="130"/>
      <c r="L28" s="124">
        <v>116557</v>
      </c>
      <c r="M28" s="124"/>
      <c r="N28" s="124"/>
      <c r="O28" s="130"/>
      <c r="P28" s="124">
        <v>16473</v>
      </c>
      <c r="Q28" s="124"/>
      <c r="R28" s="130"/>
      <c r="S28" s="124">
        <v>693</v>
      </c>
      <c r="T28" s="124"/>
      <c r="U28" s="124"/>
      <c r="V28" s="130"/>
      <c r="W28" s="130"/>
      <c r="X28" s="124">
        <v>2293.2923809523809</v>
      </c>
      <c r="Y28" s="174"/>
      <c r="Z28" s="174"/>
      <c r="AA28" s="22"/>
      <c r="AB28" s="33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17.850000000000001" customHeight="1" x14ac:dyDescent="0.35">
      <c r="A29" s="122" t="s">
        <v>26</v>
      </c>
      <c r="B29" s="124">
        <v>197</v>
      </c>
      <c r="C29" s="124"/>
      <c r="D29" s="124">
        <v>64967</v>
      </c>
      <c r="E29" s="124"/>
      <c r="F29" s="124">
        <v>1260</v>
      </c>
      <c r="G29" s="124"/>
      <c r="H29" s="124">
        <v>11782</v>
      </c>
      <c r="I29" s="124"/>
      <c r="J29" s="124"/>
      <c r="K29" s="130"/>
      <c r="L29" s="124">
        <v>69788</v>
      </c>
      <c r="M29" s="124"/>
      <c r="N29" s="124"/>
      <c r="O29" s="130"/>
      <c r="P29" s="124">
        <v>18546</v>
      </c>
      <c r="Q29" s="124"/>
      <c r="R29" s="130"/>
      <c r="S29" s="124">
        <v>777</v>
      </c>
      <c r="T29" s="124"/>
      <c r="U29" s="124"/>
      <c r="V29" s="130"/>
      <c r="W29" s="130"/>
      <c r="X29" s="124">
        <v>2209.6409523809525</v>
      </c>
      <c r="Y29" s="174"/>
      <c r="Z29" s="174"/>
      <c r="AA29" s="22"/>
      <c r="AB29" s="33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ht="17.850000000000001" customHeight="1" x14ac:dyDescent="0.35">
      <c r="A30" s="122" t="s">
        <v>27</v>
      </c>
      <c r="B30" s="124">
        <v>314</v>
      </c>
      <c r="C30" s="124"/>
      <c r="D30" s="124">
        <v>66668</v>
      </c>
      <c r="E30" s="124"/>
      <c r="F30" s="124">
        <v>603</v>
      </c>
      <c r="G30" s="124"/>
      <c r="H30" s="124">
        <v>10915</v>
      </c>
      <c r="I30" s="124"/>
      <c r="J30" s="124"/>
      <c r="K30" s="130"/>
      <c r="L30" s="124">
        <v>127552</v>
      </c>
      <c r="M30" s="124"/>
      <c r="N30" s="124"/>
      <c r="O30" s="130"/>
      <c r="P30" s="124">
        <v>16179</v>
      </c>
      <c r="Q30" s="124"/>
      <c r="R30" s="130"/>
      <c r="S30" s="124">
        <v>860</v>
      </c>
      <c r="T30" s="124"/>
      <c r="U30" s="124"/>
      <c r="V30" s="130"/>
      <c r="W30" s="130"/>
      <c r="X30" s="124">
        <v>2397.2371428571432</v>
      </c>
      <c r="Y30" s="174"/>
      <c r="Z30" s="174"/>
      <c r="AA30" s="22"/>
      <c r="AB30" s="33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ht="17.45" customHeight="1" x14ac:dyDescent="0.35">
      <c r="A31" s="122" t="s">
        <v>102</v>
      </c>
      <c r="B31" s="124">
        <v>180</v>
      </c>
      <c r="C31" s="124">
        <v>0</v>
      </c>
      <c r="D31" s="124">
        <v>63509</v>
      </c>
      <c r="E31" s="124"/>
      <c r="F31" s="124">
        <v>108</v>
      </c>
      <c r="G31" s="124"/>
      <c r="H31" s="124">
        <v>19819</v>
      </c>
      <c r="I31" s="124"/>
      <c r="J31" s="124">
        <v>0</v>
      </c>
      <c r="K31" s="130"/>
      <c r="L31" s="124">
        <v>82012</v>
      </c>
      <c r="M31" s="124"/>
      <c r="N31" s="124">
        <v>0</v>
      </c>
      <c r="O31" s="130"/>
      <c r="P31" s="124">
        <v>13252</v>
      </c>
      <c r="Q31" s="124">
        <v>0</v>
      </c>
      <c r="R31" s="130"/>
      <c r="S31" s="124">
        <v>795</v>
      </c>
      <c r="T31" s="124"/>
      <c r="U31" s="124">
        <v>0</v>
      </c>
      <c r="V31" s="130"/>
      <c r="W31" s="130"/>
      <c r="X31" s="124">
        <v>1415</v>
      </c>
      <c r="Y31" s="174"/>
      <c r="Z31" s="174">
        <v>0</v>
      </c>
      <c r="AA31" s="22"/>
      <c r="AB31" s="33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ht="17.45" customHeight="1" x14ac:dyDescent="0.35">
      <c r="A32" s="122" t="s">
        <v>103</v>
      </c>
      <c r="B32" s="124">
        <v>182</v>
      </c>
      <c r="C32" s="124">
        <v>0</v>
      </c>
      <c r="D32" s="124">
        <v>58493</v>
      </c>
      <c r="E32" s="124">
        <v>0</v>
      </c>
      <c r="F32" s="124">
        <v>14555</v>
      </c>
      <c r="G32" s="124">
        <v>0</v>
      </c>
      <c r="H32" s="124">
        <v>7426</v>
      </c>
      <c r="I32" s="124"/>
      <c r="J32" s="124">
        <v>0</v>
      </c>
      <c r="K32" s="130"/>
      <c r="L32" s="124">
        <v>96139</v>
      </c>
      <c r="M32" s="124"/>
      <c r="N32" s="124">
        <v>0</v>
      </c>
      <c r="O32" s="130"/>
      <c r="P32" s="124">
        <v>14302</v>
      </c>
      <c r="Q32" s="124">
        <v>0</v>
      </c>
      <c r="R32" s="130"/>
      <c r="S32" s="124">
        <v>1397</v>
      </c>
      <c r="T32" s="124"/>
      <c r="U32" s="124">
        <v>0</v>
      </c>
      <c r="V32" s="130"/>
      <c r="W32" s="130"/>
      <c r="X32" s="124">
        <v>2179</v>
      </c>
      <c r="Y32" s="174"/>
      <c r="Z32" s="174">
        <v>0</v>
      </c>
      <c r="AA32" s="22"/>
      <c r="AB32" s="33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ht="17.45" customHeight="1" x14ac:dyDescent="0.35">
      <c r="A33" s="122" t="s">
        <v>104</v>
      </c>
      <c r="B33" s="124">
        <v>178</v>
      </c>
      <c r="C33" s="124">
        <v>0</v>
      </c>
      <c r="D33" s="124">
        <v>49955</v>
      </c>
      <c r="E33" s="124">
        <v>0</v>
      </c>
      <c r="F33" s="124">
        <v>4436</v>
      </c>
      <c r="G33" s="124">
        <v>0</v>
      </c>
      <c r="H33" s="124">
        <v>10769</v>
      </c>
      <c r="I33" s="124"/>
      <c r="J33" s="124">
        <v>0</v>
      </c>
      <c r="K33" s="130"/>
      <c r="L33" s="124">
        <v>160325</v>
      </c>
      <c r="M33" s="124"/>
      <c r="N33" s="124">
        <v>0</v>
      </c>
      <c r="O33" s="130"/>
      <c r="P33" s="124">
        <v>15296</v>
      </c>
      <c r="Q33" s="124">
        <v>0</v>
      </c>
      <c r="R33" s="130"/>
      <c r="S33" s="124">
        <v>1117</v>
      </c>
      <c r="T33" s="124"/>
      <c r="U33" s="124">
        <v>0</v>
      </c>
      <c r="V33" s="130"/>
      <c r="W33" s="130"/>
      <c r="X33" s="124">
        <v>2160</v>
      </c>
      <c r="Y33" s="174"/>
      <c r="Z33" s="174">
        <v>0</v>
      </c>
      <c r="AA33" s="22"/>
      <c r="AB33" s="33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ht="16.149999999999999" customHeight="1" x14ac:dyDescent="0.35">
      <c r="A34" s="122" t="s">
        <v>28</v>
      </c>
      <c r="B34" s="124">
        <v>152</v>
      </c>
      <c r="C34" s="124">
        <v>0</v>
      </c>
      <c r="D34" s="124">
        <v>65885</v>
      </c>
      <c r="E34" s="124">
        <v>0</v>
      </c>
      <c r="F34" s="124">
        <v>812</v>
      </c>
      <c r="G34" s="124">
        <v>0</v>
      </c>
      <c r="H34" s="124">
        <v>12493</v>
      </c>
      <c r="I34" s="124"/>
      <c r="J34" s="124">
        <v>0</v>
      </c>
      <c r="K34" s="130"/>
      <c r="L34" s="124">
        <v>87234</v>
      </c>
      <c r="M34" s="124"/>
      <c r="N34" s="124">
        <v>0</v>
      </c>
      <c r="O34" s="130"/>
      <c r="P34" s="124">
        <v>12316</v>
      </c>
      <c r="Q34" s="124">
        <v>0</v>
      </c>
      <c r="R34" s="130"/>
      <c r="S34" s="124">
        <v>1143</v>
      </c>
      <c r="T34" s="124"/>
      <c r="U34" s="124">
        <v>0</v>
      </c>
      <c r="V34" s="130"/>
      <c r="W34" s="130"/>
      <c r="X34" s="124">
        <v>1754</v>
      </c>
      <c r="Y34" s="174"/>
      <c r="Z34" s="174">
        <v>0</v>
      </c>
      <c r="AA34" s="22"/>
      <c r="AB34" s="33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ht="16.149999999999999" customHeight="1" x14ac:dyDescent="0.35">
      <c r="A35" s="122" t="s">
        <v>29</v>
      </c>
      <c r="B35" s="124">
        <v>176</v>
      </c>
      <c r="C35" s="124">
        <v>0</v>
      </c>
      <c r="D35" s="124">
        <v>56529</v>
      </c>
      <c r="E35" s="124">
        <v>0</v>
      </c>
      <c r="F35" s="124">
        <v>4269</v>
      </c>
      <c r="G35" s="124">
        <v>0</v>
      </c>
      <c r="H35" s="124">
        <v>8849</v>
      </c>
      <c r="I35" s="124"/>
      <c r="J35" s="124">
        <v>0</v>
      </c>
      <c r="K35" s="130"/>
      <c r="L35" s="124">
        <v>62954</v>
      </c>
      <c r="M35" s="124"/>
      <c r="N35" s="124">
        <v>0</v>
      </c>
      <c r="O35" s="130"/>
      <c r="P35" s="124">
        <v>12861</v>
      </c>
      <c r="Q35" s="124">
        <v>0</v>
      </c>
      <c r="R35" s="130"/>
      <c r="S35" s="124">
        <v>510</v>
      </c>
      <c r="T35" s="124"/>
      <c r="U35" s="124">
        <v>0</v>
      </c>
      <c r="V35" s="130"/>
      <c r="W35" s="130"/>
      <c r="X35" s="124">
        <v>1219</v>
      </c>
      <c r="Y35" s="174"/>
      <c r="Z35" s="174">
        <v>0</v>
      </c>
      <c r="AA35" s="22"/>
      <c r="AB35" s="33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</row>
    <row r="36" spans="1:248" ht="15" customHeight="1" x14ac:dyDescent="0.35">
      <c r="A36" s="122" t="s">
        <v>30</v>
      </c>
      <c r="B36" s="124">
        <v>156</v>
      </c>
      <c r="C36" s="124">
        <v>0</v>
      </c>
      <c r="D36" s="124">
        <v>77819</v>
      </c>
      <c r="E36" s="124">
        <v>0</v>
      </c>
      <c r="F36" s="124">
        <v>22181</v>
      </c>
      <c r="G36" s="124">
        <v>0</v>
      </c>
      <c r="H36" s="124">
        <v>10646</v>
      </c>
      <c r="I36" s="124"/>
      <c r="J36" s="124">
        <v>0</v>
      </c>
      <c r="K36" s="130"/>
      <c r="L36" s="124">
        <v>120421</v>
      </c>
      <c r="M36" s="124"/>
      <c r="N36" s="124">
        <v>0</v>
      </c>
      <c r="O36" s="130"/>
      <c r="P36" s="124">
        <v>10982</v>
      </c>
      <c r="Q36" s="124">
        <v>0</v>
      </c>
      <c r="R36" s="130"/>
      <c r="S36" s="124">
        <v>487</v>
      </c>
      <c r="T36" s="124"/>
      <c r="U36" s="124">
        <v>0</v>
      </c>
      <c r="V36" s="130"/>
      <c r="W36" s="130"/>
      <c r="X36" s="124">
        <v>1925</v>
      </c>
      <c r="Y36" s="174"/>
      <c r="Z36" s="174">
        <v>0</v>
      </c>
      <c r="AA36" s="22"/>
      <c r="AB36" s="33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</row>
    <row r="37" spans="1:248" ht="20.25" x14ac:dyDescent="0.35">
      <c r="A37" s="122" t="s">
        <v>31</v>
      </c>
      <c r="B37" s="124">
        <v>144</v>
      </c>
      <c r="C37" s="124">
        <v>0</v>
      </c>
      <c r="D37" s="124">
        <v>55026</v>
      </c>
      <c r="E37" s="124">
        <v>0</v>
      </c>
      <c r="F37" s="124">
        <v>47574</v>
      </c>
      <c r="G37" s="124">
        <v>0</v>
      </c>
      <c r="H37" s="124">
        <v>12860</v>
      </c>
      <c r="I37" s="124"/>
      <c r="J37" s="124">
        <v>0</v>
      </c>
      <c r="K37" s="130"/>
      <c r="L37" s="124">
        <v>110597</v>
      </c>
      <c r="M37" s="124"/>
      <c r="N37" s="124">
        <v>0</v>
      </c>
      <c r="O37" s="130"/>
      <c r="P37" s="124">
        <v>11082</v>
      </c>
      <c r="Q37" s="124">
        <v>0</v>
      </c>
      <c r="R37" s="130"/>
      <c r="S37" s="124">
        <v>10600</v>
      </c>
      <c r="T37" s="124"/>
      <c r="U37" s="124">
        <v>0</v>
      </c>
      <c r="V37" s="130"/>
      <c r="W37" s="130"/>
      <c r="X37" s="124">
        <v>1393</v>
      </c>
      <c r="Y37" s="174"/>
      <c r="Z37" s="174">
        <v>0</v>
      </c>
      <c r="AA37" s="22"/>
      <c r="AB37" s="33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</row>
    <row r="38" spans="1:248" ht="20.25" x14ac:dyDescent="0.35">
      <c r="A38" s="122" t="s">
        <v>32</v>
      </c>
      <c r="B38" s="124">
        <v>158</v>
      </c>
      <c r="C38" s="124">
        <v>0</v>
      </c>
      <c r="D38" s="124">
        <v>53804</v>
      </c>
      <c r="E38" s="124">
        <v>0</v>
      </c>
      <c r="F38" s="124">
        <v>51934</v>
      </c>
      <c r="G38" s="124">
        <v>0</v>
      </c>
      <c r="H38" s="124">
        <v>11734</v>
      </c>
      <c r="I38" s="124"/>
      <c r="J38" s="124">
        <v>0</v>
      </c>
      <c r="K38" s="130"/>
      <c r="L38" s="124">
        <v>96699</v>
      </c>
      <c r="M38" s="124"/>
      <c r="N38" s="124">
        <v>0</v>
      </c>
      <c r="O38" s="130"/>
      <c r="P38" s="124">
        <v>12218</v>
      </c>
      <c r="Q38" s="124">
        <v>0</v>
      </c>
      <c r="R38" s="130"/>
      <c r="S38" s="124">
        <v>647</v>
      </c>
      <c r="T38" s="124"/>
      <c r="U38" s="124">
        <v>0</v>
      </c>
      <c r="V38" s="130"/>
      <c r="W38" s="130"/>
      <c r="X38" s="124">
        <v>1826</v>
      </c>
      <c r="Y38" s="174"/>
      <c r="Z38" s="174">
        <v>0</v>
      </c>
      <c r="AA38" s="22"/>
      <c r="AB38" s="33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16.5" customHeight="1" x14ac:dyDescent="0.35">
      <c r="A39" s="122" t="s">
        <v>33</v>
      </c>
      <c r="B39" s="124">
        <v>101</v>
      </c>
      <c r="C39" s="124">
        <v>0</v>
      </c>
      <c r="D39" s="124">
        <v>38784</v>
      </c>
      <c r="E39" s="124">
        <v>0</v>
      </c>
      <c r="F39" s="124">
        <v>40540</v>
      </c>
      <c r="G39" s="124">
        <v>0</v>
      </c>
      <c r="H39" s="124">
        <v>11886</v>
      </c>
      <c r="I39" s="124"/>
      <c r="J39" s="124">
        <v>0</v>
      </c>
      <c r="K39" s="130"/>
      <c r="L39" s="124">
        <v>100923</v>
      </c>
      <c r="M39" s="124"/>
      <c r="N39" s="124">
        <v>0</v>
      </c>
      <c r="O39" s="130"/>
      <c r="P39" s="124">
        <v>9447</v>
      </c>
      <c r="Q39" s="124">
        <v>0</v>
      </c>
      <c r="R39" s="130"/>
      <c r="S39" s="124">
        <v>670</v>
      </c>
      <c r="T39" s="124"/>
      <c r="U39" s="124">
        <v>0</v>
      </c>
      <c r="V39" s="130"/>
      <c r="W39" s="130"/>
      <c r="X39" s="124">
        <v>1888</v>
      </c>
      <c r="Y39" s="174"/>
      <c r="Z39" s="174">
        <v>0</v>
      </c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</row>
    <row r="40" spans="1:248" ht="17.649999999999999" customHeight="1" x14ac:dyDescent="0.35">
      <c r="A40" s="122" t="s">
        <v>34</v>
      </c>
      <c r="B40" s="124">
        <v>89</v>
      </c>
      <c r="C40" s="124">
        <v>0</v>
      </c>
      <c r="D40" s="124">
        <v>3212</v>
      </c>
      <c r="E40" s="124">
        <v>0</v>
      </c>
      <c r="F40" s="124">
        <v>41859</v>
      </c>
      <c r="G40" s="124">
        <v>0</v>
      </c>
      <c r="H40" s="124">
        <v>2252</v>
      </c>
      <c r="I40" s="124"/>
      <c r="J40" s="124">
        <v>0</v>
      </c>
      <c r="K40" s="130"/>
      <c r="L40" s="124">
        <v>80656</v>
      </c>
      <c r="M40" s="124"/>
      <c r="N40" s="124">
        <v>0</v>
      </c>
      <c r="O40" s="130"/>
      <c r="P40" s="124">
        <v>10729</v>
      </c>
      <c r="Q40" s="124">
        <v>0</v>
      </c>
      <c r="R40" s="130"/>
      <c r="S40" s="124">
        <v>217</v>
      </c>
      <c r="T40" s="124"/>
      <c r="U40" s="124">
        <v>0</v>
      </c>
      <c r="V40" s="130"/>
      <c r="W40" s="130"/>
      <c r="X40" s="124">
        <v>1322</v>
      </c>
      <c r="Y40" s="174"/>
      <c r="Z40" s="174">
        <v>0</v>
      </c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</row>
    <row r="41" spans="1:248" ht="17.649999999999999" customHeight="1" x14ac:dyDescent="0.3">
      <c r="A41" s="122" t="s">
        <v>35</v>
      </c>
      <c r="B41" s="124">
        <v>139</v>
      </c>
      <c r="C41" s="124">
        <v>0</v>
      </c>
      <c r="D41" s="124">
        <v>3074</v>
      </c>
      <c r="E41" s="124">
        <v>0</v>
      </c>
      <c r="F41" s="124">
        <v>9286</v>
      </c>
      <c r="G41" s="124">
        <v>0</v>
      </c>
      <c r="H41" s="124">
        <v>5607</v>
      </c>
      <c r="I41" s="124"/>
      <c r="J41" s="124">
        <v>0</v>
      </c>
      <c r="K41" s="130"/>
      <c r="L41" s="124">
        <v>36597</v>
      </c>
      <c r="M41" s="124"/>
      <c r="N41" s="124">
        <v>0</v>
      </c>
      <c r="O41" s="130"/>
      <c r="P41" s="124">
        <v>9745</v>
      </c>
      <c r="Q41" s="124">
        <v>0</v>
      </c>
      <c r="R41" s="130"/>
      <c r="S41" s="124">
        <v>361</v>
      </c>
      <c r="T41" s="124"/>
      <c r="U41" s="124">
        <v>0</v>
      </c>
      <c r="V41" s="130"/>
      <c r="W41" s="130"/>
      <c r="X41" s="124">
        <v>469</v>
      </c>
      <c r="Y41" s="124"/>
      <c r="Z41" s="124">
        <v>0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248" ht="17.649999999999999" customHeight="1" x14ac:dyDescent="0.3">
      <c r="A42" s="131" t="s">
        <v>36</v>
      </c>
      <c r="B42" s="124">
        <v>128</v>
      </c>
      <c r="C42" s="124">
        <v>0</v>
      </c>
      <c r="D42" s="124">
        <v>56134</v>
      </c>
      <c r="E42" s="124">
        <v>0</v>
      </c>
      <c r="F42" s="124">
        <v>0</v>
      </c>
      <c r="G42" s="124">
        <v>0</v>
      </c>
      <c r="H42" s="124">
        <v>10207</v>
      </c>
      <c r="I42" s="124"/>
      <c r="J42" s="124">
        <v>0</v>
      </c>
      <c r="K42" s="130"/>
      <c r="L42" s="124">
        <v>61072</v>
      </c>
      <c r="M42" s="124"/>
      <c r="N42" s="124">
        <v>0</v>
      </c>
      <c r="O42" s="130"/>
      <c r="P42" s="124">
        <v>9962</v>
      </c>
      <c r="Q42" s="124">
        <v>0</v>
      </c>
      <c r="R42" s="130"/>
      <c r="S42" s="124">
        <v>475</v>
      </c>
      <c r="T42" s="124"/>
      <c r="U42" s="124" t="s">
        <v>177</v>
      </c>
      <c r="V42" s="130"/>
      <c r="W42" s="130"/>
      <c r="X42" s="124">
        <v>870</v>
      </c>
      <c r="Y42" s="124"/>
      <c r="Z42" s="124">
        <v>0</v>
      </c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248" ht="16.5" customHeight="1" x14ac:dyDescent="0.3">
      <c r="A43" s="122" t="s">
        <v>37</v>
      </c>
      <c r="B43" s="124">
        <v>145</v>
      </c>
      <c r="C43" s="124">
        <v>0</v>
      </c>
      <c r="D43" s="124">
        <v>35354</v>
      </c>
      <c r="E43" s="124">
        <v>0</v>
      </c>
      <c r="F43" s="124">
        <v>17339</v>
      </c>
      <c r="G43" s="124">
        <v>0</v>
      </c>
      <c r="H43" s="124">
        <v>8329</v>
      </c>
      <c r="I43" s="124"/>
      <c r="J43" s="124">
        <v>0</v>
      </c>
      <c r="K43" s="130"/>
      <c r="L43" s="124">
        <v>136774</v>
      </c>
      <c r="M43" s="124"/>
      <c r="N43" s="124">
        <v>0</v>
      </c>
      <c r="O43" s="130"/>
      <c r="P43" s="124">
        <v>11076</v>
      </c>
      <c r="Q43" s="124">
        <v>0</v>
      </c>
      <c r="R43" s="130"/>
      <c r="S43" s="124">
        <v>557</v>
      </c>
      <c r="T43" s="124"/>
      <c r="U43" s="124">
        <v>0</v>
      </c>
      <c r="V43" s="130"/>
      <c r="W43" s="130"/>
      <c r="X43" s="124">
        <v>1164</v>
      </c>
      <c r="Y43" s="124"/>
      <c r="Z43" s="124">
        <v>0</v>
      </c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248" ht="17.649999999999999" customHeight="1" x14ac:dyDescent="0.3">
      <c r="A44" s="122" t="s">
        <v>38</v>
      </c>
      <c r="B44" s="124">
        <v>425</v>
      </c>
      <c r="C44" s="124">
        <v>0</v>
      </c>
      <c r="D44" s="124">
        <v>79095</v>
      </c>
      <c r="E44" s="124">
        <v>0</v>
      </c>
      <c r="F44" s="124">
        <v>34429</v>
      </c>
      <c r="G44" s="124">
        <v>0</v>
      </c>
      <c r="H44" s="124">
        <v>11639</v>
      </c>
      <c r="I44" s="124"/>
      <c r="J44" s="124">
        <v>0</v>
      </c>
      <c r="K44" s="130"/>
      <c r="L44" s="124">
        <v>111741</v>
      </c>
      <c r="M44" s="124"/>
      <c r="N44" s="124">
        <v>0</v>
      </c>
      <c r="O44" s="130"/>
      <c r="P44" s="124">
        <v>13162</v>
      </c>
      <c r="Q44" s="124">
        <v>0</v>
      </c>
      <c r="R44" s="130"/>
      <c r="S44" s="124">
        <v>693</v>
      </c>
      <c r="T44" s="124"/>
      <c r="U44" s="124">
        <v>0</v>
      </c>
      <c r="V44" s="130"/>
      <c r="W44" s="130"/>
      <c r="X44" s="124">
        <v>1541</v>
      </c>
      <c r="Y44" s="124"/>
      <c r="Z44" s="124">
        <v>0</v>
      </c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248" ht="17.649999999999999" customHeight="1" x14ac:dyDescent="0.3">
      <c r="A45" s="122" t="s">
        <v>39</v>
      </c>
      <c r="B45" s="124">
        <v>153</v>
      </c>
      <c r="C45" s="124">
        <v>0</v>
      </c>
      <c r="D45" s="124">
        <v>60903</v>
      </c>
      <c r="E45" s="124">
        <v>0</v>
      </c>
      <c r="F45" s="124">
        <v>35046</v>
      </c>
      <c r="G45" s="124">
        <v>0</v>
      </c>
      <c r="H45" s="124">
        <v>12082</v>
      </c>
      <c r="I45" s="124"/>
      <c r="J45" s="124">
        <v>0</v>
      </c>
      <c r="K45" s="130"/>
      <c r="L45" s="124">
        <v>105333</v>
      </c>
      <c r="M45" s="124"/>
      <c r="N45" s="124">
        <v>0</v>
      </c>
      <c r="O45" s="130"/>
      <c r="P45" s="124">
        <v>11586</v>
      </c>
      <c r="Q45" s="124">
        <v>0</v>
      </c>
      <c r="R45" s="130"/>
      <c r="S45" s="124">
        <v>694</v>
      </c>
      <c r="T45" s="124"/>
      <c r="U45" s="124">
        <v>0</v>
      </c>
      <c r="V45" s="130"/>
      <c r="W45" s="130"/>
      <c r="X45" s="124">
        <v>1356</v>
      </c>
      <c r="Y45" s="124"/>
      <c r="Z45" s="124">
        <v>0</v>
      </c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248" ht="17.649999999999999" customHeight="1" x14ac:dyDescent="0.3">
      <c r="A46" s="122" t="s">
        <v>40</v>
      </c>
      <c r="B46" s="124">
        <v>154</v>
      </c>
      <c r="C46" s="124">
        <v>0</v>
      </c>
      <c r="D46" s="124">
        <v>51698</v>
      </c>
      <c r="E46" s="124">
        <v>0</v>
      </c>
      <c r="F46" s="124">
        <v>34816</v>
      </c>
      <c r="G46" s="124">
        <v>0</v>
      </c>
      <c r="H46" s="124">
        <v>9193</v>
      </c>
      <c r="I46" s="124"/>
      <c r="J46" s="124">
        <v>0</v>
      </c>
      <c r="K46" s="130"/>
      <c r="L46" s="124">
        <v>79195</v>
      </c>
      <c r="M46" s="124"/>
      <c r="N46" s="124">
        <v>0</v>
      </c>
      <c r="O46" s="130"/>
      <c r="P46" s="124">
        <v>15447</v>
      </c>
      <c r="Q46" s="124">
        <v>0</v>
      </c>
      <c r="R46" s="130"/>
      <c r="S46" s="124">
        <v>838</v>
      </c>
      <c r="T46" s="124"/>
      <c r="U46" s="124">
        <v>0</v>
      </c>
      <c r="V46" s="130"/>
      <c r="W46" s="130"/>
      <c r="X46" s="124">
        <v>1377</v>
      </c>
      <c r="Y46" s="124"/>
      <c r="Z46" s="124">
        <v>0</v>
      </c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248" ht="16.5" customHeight="1" x14ac:dyDescent="0.3">
      <c r="A47" s="122" t="s">
        <v>41</v>
      </c>
      <c r="B47" s="124">
        <v>47</v>
      </c>
      <c r="C47" s="124">
        <v>0</v>
      </c>
      <c r="D47" s="124">
        <v>21115</v>
      </c>
      <c r="E47" s="124">
        <v>0</v>
      </c>
      <c r="F47" s="124">
        <v>40634</v>
      </c>
      <c r="G47" s="124">
        <v>0</v>
      </c>
      <c r="H47" s="124">
        <v>3739</v>
      </c>
      <c r="I47" s="124"/>
      <c r="J47" s="124">
        <v>0</v>
      </c>
      <c r="K47" s="130"/>
      <c r="L47" s="124">
        <v>75398</v>
      </c>
      <c r="M47" s="124"/>
      <c r="N47" s="124">
        <v>0</v>
      </c>
      <c r="O47" s="130"/>
      <c r="P47" s="124">
        <v>11280</v>
      </c>
      <c r="Q47" s="124">
        <v>0</v>
      </c>
      <c r="R47" s="130"/>
      <c r="S47" s="124">
        <v>521</v>
      </c>
      <c r="T47" s="124"/>
      <c r="U47" s="124">
        <v>0</v>
      </c>
      <c r="V47" s="130"/>
      <c r="W47" s="130"/>
      <c r="X47" s="124">
        <v>853</v>
      </c>
      <c r="Y47" s="124"/>
      <c r="Z47" s="124">
        <v>0</v>
      </c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248" ht="15" customHeight="1" x14ac:dyDescent="0.3">
      <c r="A48" s="122" t="s">
        <v>42</v>
      </c>
      <c r="B48" s="124">
        <v>170.14285714285714</v>
      </c>
      <c r="C48" s="124">
        <v>0</v>
      </c>
      <c r="D48" s="124">
        <v>43910.428571428572</v>
      </c>
      <c r="E48" s="124">
        <v>0</v>
      </c>
      <c r="F48" s="124">
        <v>24507.142857142859</v>
      </c>
      <c r="G48" s="124">
        <v>0</v>
      </c>
      <c r="H48" s="124">
        <v>8685.1428571428587</v>
      </c>
      <c r="I48" s="124"/>
      <c r="J48" s="124">
        <v>0</v>
      </c>
      <c r="K48" s="130"/>
      <c r="L48" s="124">
        <v>86587.142857142855</v>
      </c>
      <c r="M48" s="124"/>
      <c r="N48" s="124">
        <v>0</v>
      </c>
      <c r="O48" s="130"/>
      <c r="P48" s="124">
        <v>11751.142857142857</v>
      </c>
      <c r="Q48" s="124">
        <v>0</v>
      </c>
      <c r="R48" s="130"/>
      <c r="S48" s="124">
        <v>602.28571428571433</v>
      </c>
      <c r="T48" s="124"/>
      <c r="U48" s="124">
        <v>0</v>
      </c>
      <c r="V48" s="130"/>
      <c r="W48" s="130"/>
      <c r="X48" s="124">
        <v>1090</v>
      </c>
      <c r="Y48" s="124"/>
      <c r="Z48" s="124">
        <v>0</v>
      </c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15" customHeight="1" x14ac:dyDescent="0.3">
      <c r="A49" s="122" t="s">
        <v>43</v>
      </c>
      <c r="B49" s="124">
        <v>170.14285714285714</v>
      </c>
      <c r="C49" s="124">
        <v>166.19495999999998</v>
      </c>
      <c r="D49" s="124">
        <v>43910.428571428572</v>
      </c>
      <c r="E49" s="124">
        <v>42891.556457000006</v>
      </c>
      <c r="F49" s="124">
        <v>24507.142857142859</v>
      </c>
      <c r="G49" s="124">
        <v>23938.493329000001</v>
      </c>
      <c r="H49" s="124">
        <v>8685.1428571428587</v>
      </c>
      <c r="I49" s="124"/>
      <c r="J49" s="124">
        <v>8483.6178400000008</v>
      </c>
      <c r="K49" s="130"/>
      <c r="L49" s="124">
        <v>86587.142857142855</v>
      </c>
      <c r="M49" s="124"/>
      <c r="N49" s="124">
        <v>84578.025018</v>
      </c>
      <c r="O49" s="130"/>
      <c r="P49" s="124">
        <v>11751.142857142857</v>
      </c>
      <c r="Q49" s="124">
        <v>11478.476154</v>
      </c>
      <c r="R49" s="130"/>
      <c r="S49" s="124">
        <v>602.28571428571433</v>
      </c>
      <c r="T49" s="124"/>
      <c r="U49" s="124">
        <v>587.74476200000004</v>
      </c>
      <c r="V49" s="130"/>
      <c r="W49" s="130"/>
      <c r="X49" s="124">
        <v>1090</v>
      </c>
      <c r="Y49" s="124"/>
      <c r="Z49" s="124">
        <v>1064.378305</v>
      </c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ht="16.5" customHeight="1" x14ac:dyDescent="0.3">
      <c r="A50" s="122" t="s">
        <v>44</v>
      </c>
      <c r="B50" s="124">
        <v>170.14285714285714</v>
      </c>
      <c r="C50" s="124">
        <v>162.33867000000001</v>
      </c>
      <c r="D50" s="124">
        <v>43910.428571428572</v>
      </c>
      <c r="E50" s="124">
        <v>41896.325659000002</v>
      </c>
      <c r="F50" s="124">
        <v>24507.142857142859</v>
      </c>
      <c r="G50" s="124">
        <v>23383.038414999999</v>
      </c>
      <c r="H50" s="124">
        <v>8685.1428571428587</v>
      </c>
      <c r="I50" s="124"/>
      <c r="J50" s="124">
        <v>8286.7688920000001</v>
      </c>
      <c r="K50" s="130"/>
      <c r="L50" s="124">
        <v>86587.142857142855</v>
      </c>
      <c r="M50" s="124"/>
      <c r="N50" s="124">
        <v>82615.525584000003</v>
      </c>
      <c r="O50" s="130"/>
      <c r="P50" s="124">
        <v>11751.142857142857</v>
      </c>
      <c r="Q50" s="124">
        <v>11212.136252</v>
      </c>
      <c r="R50" s="130"/>
      <c r="S50" s="124">
        <v>602.28571428571433</v>
      </c>
      <c r="T50" s="124"/>
      <c r="U50" s="124">
        <v>574.49544700000001</v>
      </c>
      <c r="V50" s="130"/>
      <c r="W50" s="130"/>
      <c r="X50" s="124">
        <v>1090</v>
      </c>
      <c r="Y50" s="124"/>
      <c r="Z50" s="124">
        <v>1039.63085</v>
      </c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0" ht="15" customHeight="1" x14ac:dyDescent="0.3">
      <c r="A51" s="122" t="s">
        <v>45</v>
      </c>
      <c r="B51" s="124">
        <v>170.14285714285714</v>
      </c>
      <c r="C51" s="124">
        <v>158.57185699999999</v>
      </c>
      <c r="D51" s="124">
        <v>43910.428571428572</v>
      </c>
      <c r="E51" s="124">
        <v>40924.187620999997</v>
      </c>
      <c r="F51" s="124">
        <v>24507.142857142859</v>
      </c>
      <c r="G51" s="124">
        <v>22840.471955000001</v>
      </c>
      <c r="H51" s="124">
        <v>8685.1428571428587</v>
      </c>
      <c r="I51" s="124"/>
      <c r="J51" s="124">
        <v>8094.4875140000004</v>
      </c>
      <c r="K51" s="130"/>
      <c r="L51" s="124">
        <v>86587.142857142855</v>
      </c>
      <c r="M51" s="124"/>
      <c r="N51" s="124">
        <v>80698.562848999994</v>
      </c>
      <c r="O51" s="130"/>
      <c r="P51" s="124">
        <v>11751.142857142857</v>
      </c>
      <c r="Q51" s="124">
        <v>10951.976344999999</v>
      </c>
      <c r="R51" s="130"/>
      <c r="S51" s="124">
        <v>602.28571428571433</v>
      </c>
      <c r="T51" s="124"/>
      <c r="U51" s="124">
        <v>561.25191700000005</v>
      </c>
      <c r="V51" s="130"/>
      <c r="W51" s="130"/>
      <c r="X51" s="124">
        <v>1090</v>
      </c>
      <c r="Y51" s="124"/>
      <c r="Z51" s="124">
        <v>1016.179179</v>
      </c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17.649999999999999" customHeight="1" x14ac:dyDescent="0.3">
      <c r="A52" s="122" t="s">
        <v>46</v>
      </c>
      <c r="B52" s="124">
        <v>170.14285714285714</v>
      </c>
      <c r="C52" s="124">
        <v>154.892448</v>
      </c>
      <c r="D52" s="124">
        <v>43910.428571428572</v>
      </c>
      <c r="E52" s="124">
        <v>39974.606507999997</v>
      </c>
      <c r="F52" s="124">
        <v>24507.142857142859</v>
      </c>
      <c r="G52" s="124">
        <v>22310.494891999999</v>
      </c>
      <c r="H52" s="124">
        <v>8685.1428571428587</v>
      </c>
      <c r="I52" s="124"/>
      <c r="J52" s="124">
        <v>7906.6677199999995</v>
      </c>
      <c r="K52" s="130"/>
      <c r="L52" s="124">
        <v>86587.142857142855</v>
      </c>
      <c r="M52" s="124"/>
      <c r="N52" s="124">
        <v>78826.080203999998</v>
      </c>
      <c r="O52" s="130"/>
      <c r="P52" s="124">
        <v>11751.142857142857</v>
      </c>
      <c r="Q52" s="124">
        <v>10697.85304</v>
      </c>
      <c r="R52" s="130"/>
      <c r="S52" s="124">
        <v>602.28571428571433</v>
      </c>
      <c r="T52" s="124"/>
      <c r="U52" s="124">
        <v>548.01403700000003</v>
      </c>
      <c r="V52" s="130"/>
      <c r="W52" s="130"/>
      <c r="X52" s="124">
        <v>1090</v>
      </c>
      <c r="Y52" s="124"/>
      <c r="Z52" s="124">
        <v>992.01642900000002</v>
      </c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0" ht="17.649999999999999" customHeight="1" x14ac:dyDescent="0.3">
      <c r="A53" s="122" t="s">
        <v>47</v>
      </c>
      <c r="B53" s="124">
        <v>170.14285714285714</v>
      </c>
      <c r="C53" s="124">
        <v>151.29841300000001</v>
      </c>
      <c r="D53" s="124">
        <v>43910.428571428572</v>
      </c>
      <c r="E53" s="124">
        <v>39047.058925000005</v>
      </c>
      <c r="F53" s="124">
        <v>24507.142857142859</v>
      </c>
      <c r="G53" s="124">
        <v>21792.81511</v>
      </c>
      <c r="H53" s="124">
        <v>8685.1428571428587</v>
      </c>
      <c r="I53" s="124"/>
      <c r="J53" s="124">
        <v>7723.2059880000006</v>
      </c>
      <c r="K53" s="130"/>
      <c r="L53" s="124">
        <v>86587.142857142855</v>
      </c>
      <c r="M53" s="124"/>
      <c r="N53" s="124">
        <v>76997.045561999999</v>
      </c>
      <c r="O53" s="130"/>
      <c r="P53" s="124">
        <v>11751.142857142857</v>
      </c>
      <c r="Q53" s="124">
        <v>10449.626263</v>
      </c>
      <c r="R53" s="130"/>
      <c r="S53" s="124">
        <v>602.28571428571433</v>
      </c>
      <c r="T53" s="124"/>
      <c r="U53" s="124">
        <v>534.78167699999995</v>
      </c>
      <c r="V53" s="130"/>
      <c r="W53" s="130"/>
      <c r="X53" s="124">
        <v>1090</v>
      </c>
      <c r="Y53" s="124"/>
      <c r="Z53" s="124">
        <v>969.135897</v>
      </c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0" ht="17.649999999999999" customHeight="1" x14ac:dyDescent="0.3">
      <c r="A54" s="122" t="s">
        <v>48</v>
      </c>
      <c r="B54" s="124">
        <v>170.14285714285714</v>
      </c>
      <c r="C54" s="124">
        <v>147.78777299999999</v>
      </c>
      <c r="D54" s="124">
        <v>43910.428571428572</v>
      </c>
      <c r="E54" s="124">
        <v>38141.033620000009</v>
      </c>
      <c r="F54" s="124">
        <v>24507.142857142859</v>
      </c>
      <c r="G54" s="124">
        <v>21287.147269000001</v>
      </c>
      <c r="H54" s="124">
        <v>8685.1428571428587</v>
      </c>
      <c r="I54" s="124"/>
      <c r="J54" s="124">
        <v>7544.0011979999999</v>
      </c>
      <c r="K54" s="130"/>
      <c r="L54" s="124">
        <v>86587.142857142855</v>
      </c>
      <c r="M54" s="124"/>
      <c r="N54" s="124">
        <v>75210.450777999999</v>
      </c>
      <c r="O54" s="130"/>
      <c r="P54" s="124">
        <v>11751.142857142857</v>
      </c>
      <c r="Q54" s="124">
        <v>10207.159196000001</v>
      </c>
      <c r="R54" s="130"/>
      <c r="S54" s="124">
        <v>602.28571428571433</v>
      </c>
      <c r="T54" s="124"/>
      <c r="U54" s="124">
        <v>523.554709</v>
      </c>
      <c r="V54" s="130"/>
      <c r="W54" s="130"/>
      <c r="X54" s="124">
        <v>1090</v>
      </c>
      <c r="Y54" s="124"/>
      <c r="Z54" s="124">
        <v>946.53103299999998</v>
      </c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17.649999999999999" customHeight="1" x14ac:dyDescent="0.3">
      <c r="A55" s="122" t="s">
        <v>49</v>
      </c>
      <c r="B55" s="124">
        <v>170.14285714285714</v>
      </c>
      <c r="C55" s="124">
        <v>144.35859099999999</v>
      </c>
      <c r="D55" s="124">
        <v>43910.428571428572</v>
      </c>
      <c r="E55" s="124">
        <v>37256.031198000004</v>
      </c>
      <c r="F55" s="124">
        <v>24507.142857142859</v>
      </c>
      <c r="G55" s="124">
        <v>20793.212651000002</v>
      </c>
      <c r="H55" s="124">
        <v>8685.1428571428587</v>
      </c>
      <c r="I55" s="124"/>
      <c r="J55" s="124">
        <v>7368.9545679999992</v>
      </c>
      <c r="K55" s="130"/>
      <c r="L55" s="124">
        <v>86587.142857142855</v>
      </c>
      <c r="M55" s="124"/>
      <c r="N55" s="124">
        <v>73465.311103</v>
      </c>
      <c r="O55" s="130"/>
      <c r="P55" s="124">
        <v>11751.142857142857</v>
      </c>
      <c r="Q55" s="124">
        <v>9970.3181940000013</v>
      </c>
      <c r="R55" s="130"/>
      <c r="S55" s="124">
        <v>602.28571428571433</v>
      </c>
      <c r="T55" s="124"/>
      <c r="U55" s="124">
        <v>511.33300700000001</v>
      </c>
      <c r="V55" s="130"/>
      <c r="W55" s="130"/>
      <c r="X55" s="124">
        <v>1090</v>
      </c>
      <c r="Y55" s="124"/>
      <c r="Z55" s="124">
        <v>925.19544300000007</v>
      </c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0" ht="17.649999999999999" customHeight="1" thickBot="1" x14ac:dyDescent="0.35">
      <c r="A56" s="122" t="s">
        <v>50</v>
      </c>
      <c r="B56" s="124">
        <v>170.14285714285714</v>
      </c>
      <c r="C56" s="124">
        <v>141.00897800000001</v>
      </c>
      <c r="D56" s="124">
        <v>43910.428571428572</v>
      </c>
      <c r="E56" s="124">
        <v>36391.563860000002</v>
      </c>
      <c r="F56" s="124">
        <v>24507.142857142859</v>
      </c>
      <c r="G56" s="124">
        <v>20310.739004999999</v>
      </c>
      <c r="H56" s="124">
        <v>8685.1428571428587</v>
      </c>
      <c r="I56" s="124"/>
      <c r="J56" s="124">
        <v>7197.9696219999996</v>
      </c>
      <c r="K56" s="130"/>
      <c r="L56" s="124">
        <v>86587.142857142855</v>
      </c>
      <c r="M56" s="124"/>
      <c r="N56" s="124">
        <v>71760.664636999994</v>
      </c>
      <c r="O56" s="130"/>
      <c r="P56" s="124">
        <v>11751.142857142857</v>
      </c>
      <c r="Q56" s="124">
        <v>9738.9727140000014</v>
      </c>
      <c r="R56" s="130"/>
      <c r="S56" s="124">
        <v>602.28571428571433</v>
      </c>
      <c r="T56" s="124"/>
      <c r="U56" s="124">
        <v>499.11644899999999</v>
      </c>
      <c r="V56" s="130"/>
      <c r="W56" s="130"/>
      <c r="X56" s="124">
        <v>1090</v>
      </c>
      <c r="Y56" s="124"/>
      <c r="Z56" s="124">
        <v>903.12287600000002</v>
      </c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ht="17.649999999999999" customHeight="1" x14ac:dyDescent="0.3">
      <c r="A57" s="122" t="s">
        <v>51</v>
      </c>
      <c r="B57" s="133">
        <v>9614.2857142857119</v>
      </c>
      <c r="C57" s="133">
        <v>1226.4516900000001</v>
      </c>
      <c r="D57" s="133">
        <v>2539122.8571428577</v>
      </c>
      <c r="E57" s="133">
        <v>316522.36384800001</v>
      </c>
      <c r="F57" s="133">
        <v>710589.28571428556</v>
      </c>
      <c r="G57" s="133">
        <v>176656.412626</v>
      </c>
      <c r="H57" s="133">
        <v>437007.28571428556</v>
      </c>
      <c r="I57" s="252"/>
      <c r="J57" s="133">
        <v>62605.673341999995</v>
      </c>
      <c r="K57" s="252"/>
      <c r="L57" s="133">
        <v>3877209.2857142845</v>
      </c>
      <c r="M57" s="252"/>
      <c r="N57" s="133">
        <v>624151.66573499993</v>
      </c>
      <c r="O57" s="252"/>
      <c r="P57" s="133">
        <v>634023.28571428556</v>
      </c>
      <c r="Q57" s="133">
        <v>84706.518158000006</v>
      </c>
      <c r="R57" s="252"/>
      <c r="S57" s="133">
        <v>39133.571428571457</v>
      </c>
      <c r="T57" s="252"/>
      <c r="U57" s="133">
        <v>4340.2920050000002</v>
      </c>
      <c r="V57" s="252"/>
      <c r="W57" s="252"/>
      <c r="X57" s="133">
        <v>70528.091428571439</v>
      </c>
      <c r="Y57" s="252"/>
      <c r="Z57" s="133">
        <v>7856.190012</v>
      </c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ht="17.649999999999999" customHeight="1" x14ac:dyDescent="0.3">
      <c r="A58" s="122" t="s">
        <v>72</v>
      </c>
      <c r="B58" s="124">
        <v>170.14285714285714</v>
      </c>
      <c r="C58" s="124">
        <v>0</v>
      </c>
      <c r="D58" s="124">
        <v>43910.428571428572</v>
      </c>
      <c r="E58" s="124"/>
      <c r="F58" s="124">
        <v>24507.142857142859</v>
      </c>
      <c r="G58" s="124">
        <v>0</v>
      </c>
      <c r="H58" s="124">
        <v>8685.1428571428569</v>
      </c>
      <c r="I58" s="124"/>
      <c r="J58" s="124"/>
      <c r="K58" s="130"/>
      <c r="L58" s="124">
        <v>86587.142857142855</v>
      </c>
      <c r="M58" s="124"/>
      <c r="N58" s="124"/>
      <c r="O58" s="130"/>
      <c r="P58" s="124">
        <v>11751.142857142857</v>
      </c>
      <c r="Q58" s="124"/>
      <c r="R58" s="130"/>
      <c r="S58" s="124">
        <v>602.28571428571433</v>
      </c>
      <c r="T58" s="124"/>
      <c r="U58" s="124"/>
      <c r="V58" s="130"/>
      <c r="W58" s="130"/>
      <c r="X58" s="124">
        <v>1090</v>
      </c>
      <c r="Y58" s="124"/>
      <c r="Z58" s="12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0" ht="17.649999999999999" customHeight="1" x14ac:dyDescent="0.3">
      <c r="A59" s="122" t="s">
        <v>53</v>
      </c>
      <c r="B59" s="124">
        <v>1361.1428571428571</v>
      </c>
      <c r="C59" s="124">
        <v>1226.4516900000001</v>
      </c>
      <c r="D59" s="124">
        <v>351283.42857142858</v>
      </c>
      <c r="E59" s="124">
        <v>316522.36384800001</v>
      </c>
      <c r="F59" s="124">
        <v>196057.1428571429</v>
      </c>
      <c r="G59" s="124">
        <v>176656.412626</v>
      </c>
      <c r="H59" s="124">
        <v>69481.142857142855</v>
      </c>
      <c r="I59" s="124"/>
      <c r="J59" s="124">
        <v>62605.673341999995</v>
      </c>
      <c r="K59" s="130"/>
      <c r="L59" s="124">
        <v>692697.14285714284</v>
      </c>
      <c r="M59" s="124"/>
      <c r="N59" s="124">
        <v>624151.66573499993</v>
      </c>
      <c r="O59" s="130"/>
      <c r="P59" s="124">
        <v>94009.142857142855</v>
      </c>
      <c r="Q59" s="124">
        <v>84706.518158000006</v>
      </c>
      <c r="R59" s="130"/>
      <c r="S59" s="124">
        <v>4818.2857142857147</v>
      </c>
      <c r="T59" s="124"/>
      <c r="U59" s="124">
        <v>4340.2920050000002</v>
      </c>
      <c r="V59" s="130"/>
      <c r="W59" s="130"/>
      <c r="X59" s="124">
        <v>8720</v>
      </c>
      <c r="Y59" s="124"/>
      <c r="Z59" s="124">
        <v>7856.190012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ht="24.95" customHeigh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14"/>
      <c r="L60" s="8"/>
      <c r="M60" s="8"/>
      <c r="N60" s="8"/>
      <c r="O60" s="14"/>
      <c r="P60" s="8"/>
      <c r="Q60" s="8"/>
      <c r="R60" s="14"/>
      <c r="S60" s="8"/>
      <c r="T60" s="8"/>
      <c r="U60" s="8"/>
      <c r="V60" s="14"/>
      <c r="W60" s="14"/>
      <c r="X60" s="8"/>
      <c r="Y60" s="8"/>
      <c r="Z60" s="8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 ht="24.9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14"/>
      <c r="L61" s="8"/>
      <c r="M61" s="8"/>
      <c r="N61" s="8"/>
      <c r="O61" s="14"/>
      <c r="P61" s="8"/>
      <c r="Q61" s="8"/>
      <c r="R61" s="14"/>
      <c r="S61" s="8"/>
      <c r="T61" s="8"/>
      <c r="U61" s="8"/>
      <c r="V61" s="14"/>
      <c r="W61" s="14"/>
      <c r="X61" s="8"/>
      <c r="Y61" s="8"/>
      <c r="Z61" s="8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0" ht="24.9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14"/>
      <c r="L62" s="8"/>
      <c r="M62" s="8"/>
      <c r="N62" s="8"/>
      <c r="O62" s="14"/>
      <c r="P62" s="8"/>
      <c r="Q62" s="8"/>
      <c r="R62" s="14"/>
      <c r="S62" s="8"/>
      <c r="T62" s="8"/>
      <c r="U62" s="8"/>
      <c r="V62" s="14"/>
      <c r="W62" s="14"/>
      <c r="X62" s="8"/>
      <c r="Y62" s="8"/>
      <c r="Z62" s="8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ht="24.9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14"/>
      <c r="L63" s="8"/>
      <c r="M63" s="8"/>
      <c r="N63" s="8"/>
      <c r="O63" s="14"/>
      <c r="P63" s="8"/>
      <c r="Q63" s="8"/>
      <c r="R63" s="14"/>
      <c r="S63" s="8"/>
      <c r="T63" s="8"/>
      <c r="U63" s="8"/>
      <c r="V63" s="14"/>
      <c r="W63" s="14"/>
      <c r="X63" s="8"/>
      <c r="Y63" s="8"/>
      <c r="Z63" s="8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0" ht="18" x14ac:dyDescent="0.25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33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x14ac:dyDescent="0.2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1:40" x14ac:dyDescent="0.2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1:40" x14ac:dyDescent="0.2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0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 x14ac:dyDescent="0.2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x14ac:dyDescent="0.2">
      <c r="A79" s="1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x14ac:dyDescent="0.2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0" x14ac:dyDescent="0.2">
      <c r="A81" s="1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1:40" x14ac:dyDescent="0.2">
      <c r="A82" s="17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1:40" x14ac:dyDescent="0.2">
      <c r="A83" s="1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1:40" x14ac:dyDescent="0.2">
      <c r="A84" s="17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1:40" x14ac:dyDescent="0.2">
      <c r="A85" s="17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1:40" x14ac:dyDescent="0.2">
      <c r="A86" s="17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1:40" x14ac:dyDescent="0.2">
      <c r="A87" s="1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1:40" x14ac:dyDescent="0.2">
      <c r="A88" s="17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1:40" x14ac:dyDescent="0.2">
      <c r="A89" s="17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1:40" x14ac:dyDescent="0.2">
      <c r="A90" s="1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1:40" x14ac:dyDescent="0.2">
      <c r="A91" s="17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1:40" x14ac:dyDescent="0.2">
      <c r="A92" s="17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1:40" x14ac:dyDescent="0.2">
      <c r="A93" s="17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1:40" x14ac:dyDescent="0.2">
      <c r="A94" s="17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1:40" x14ac:dyDescent="0.2">
      <c r="A95" s="17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1:40" x14ac:dyDescent="0.2">
      <c r="A96" s="17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1:40" x14ac:dyDescent="0.2">
      <c r="A97" s="17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1:40" x14ac:dyDescent="0.2">
      <c r="A98" s="17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1:40" x14ac:dyDescent="0.2">
      <c r="A99" s="17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1:40" x14ac:dyDescent="0.2">
      <c r="A100" s="17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1:40" x14ac:dyDescent="0.2">
      <c r="A101" s="17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1:40" x14ac:dyDescent="0.2">
      <c r="A102" s="17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1:40" x14ac:dyDescent="0.2">
      <c r="A103" s="17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1:40" x14ac:dyDescent="0.2">
      <c r="A104" s="17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1:40" x14ac:dyDescent="0.2">
      <c r="A105" s="17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1:40" x14ac:dyDescent="0.2">
      <c r="A106" s="17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1:40" x14ac:dyDescent="0.2">
      <c r="A107" s="1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1:40" x14ac:dyDescent="0.2">
      <c r="A108" s="1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1:40" x14ac:dyDescent="0.2">
      <c r="A109" s="1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 x14ac:dyDescent="0.2">
      <c r="A110" s="1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 x14ac:dyDescent="0.2">
      <c r="A111" s="17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 x14ac:dyDescent="0.2">
      <c r="A112" s="17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 x14ac:dyDescent="0.2">
      <c r="A113" s="17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 x14ac:dyDescent="0.2">
      <c r="A114" s="1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">
      <c r="A115" s="17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">
      <c r="A116" s="17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">
      <c r="A117" s="17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">
      <c r="A118" s="17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">
      <c r="A119" s="17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">
      <c r="A120" s="17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">
      <c r="A121" s="17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">
      <c r="A122" s="1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">
      <c r="A123" s="1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">
      <c r="A124" s="1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">
      <c r="A125" s="17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">
      <c r="A126" s="17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">
      <c r="A127" s="17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">
      <c r="A128" s="17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">
      <c r="A129" s="17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">
      <c r="A130" s="17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">
      <c r="A131" s="17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">
      <c r="A132" s="17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">
      <c r="A133" s="17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">
      <c r="A134" s="17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">
      <c r="A135" s="1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">
      <c r="A136" s="17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">
      <c r="A137" s="17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">
      <c r="A138" s="17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">
      <c r="A139" s="17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">
      <c r="A140" s="17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">
      <c r="A141" s="17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1:40" x14ac:dyDescent="0.2">
      <c r="A142" s="17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1:40" x14ac:dyDescent="0.2">
      <c r="A143" s="17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1:40" x14ac:dyDescent="0.2">
      <c r="A144" s="17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1:40" x14ac:dyDescent="0.2">
      <c r="A145" s="17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1:40" x14ac:dyDescent="0.2">
      <c r="A146" s="17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1:40" x14ac:dyDescent="0.2">
      <c r="A147" s="17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1:40" x14ac:dyDescent="0.2">
      <c r="A148" s="17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1:40" x14ac:dyDescent="0.2">
      <c r="A149" s="17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1:40" x14ac:dyDescent="0.2">
      <c r="A150" s="17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1:40" x14ac:dyDescent="0.2">
      <c r="A151" s="17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1:40" x14ac:dyDescent="0.2">
      <c r="A152" s="17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1:40" x14ac:dyDescent="0.2">
      <c r="A153" s="17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1:40" x14ac:dyDescent="0.2">
      <c r="A154" s="17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1:40" x14ac:dyDescent="0.2">
      <c r="A155" s="17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1:40" x14ac:dyDescent="0.2">
      <c r="A156" s="17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1:40" x14ac:dyDescent="0.2">
      <c r="A157" s="17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1:40" x14ac:dyDescent="0.2">
      <c r="A158" s="17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1:40" x14ac:dyDescent="0.2">
      <c r="A159" s="17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1:40" x14ac:dyDescent="0.2">
      <c r="A160" s="17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1:40" x14ac:dyDescent="0.2">
      <c r="A161" s="17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1:40" x14ac:dyDescent="0.2">
      <c r="A162" s="17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1:40" x14ac:dyDescent="0.2">
      <c r="A163" s="17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1:40" x14ac:dyDescent="0.2">
      <c r="A164" s="17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1:40" x14ac:dyDescent="0.2">
      <c r="A165" s="17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1:40" x14ac:dyDescent="0.2">
      <c r="A166" s="17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1:40" x14ac:dyDescent="0.2">
      <c r="A167" s="17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1:40" x14ac:dyDescent="0.2">
      <c r="A168" s="1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1:40" x14ac:dyDescent="0.2">
      <c r="A169" s="17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1:40" x14ac:dyDescent="0.2">
      <c r="A170" s="17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1:40" x14ac:dyDescent="0.2">
      <c r="A171" s="17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1:40" x14ac:dyDescent="0.2">
      <c r="A172" s="17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1:40" x14ac:dyDescent="0.2">
      <c r="A173" s="17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1:40" x14ac:dyDescent="0.2">
      <c r="A174" s="17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1:40" x14ac:dyDescent="0.2">
      <c r="A175" s="17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1:40" x14ac:dyDescent="0.2">
      <c r="A176" s="17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1:40" x14ac:dyDescent="0.2">
      <c r="A177" s="17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1:40" x14ac:dyDescent="0.2">
      <c r="A178" s="17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1:40" x14ac:dyDescent="0.2">
      <c r="A179" s="17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1:40" x14ac:dyDescent="0.2">
      <c r="A180" s="17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1:40" x14ac:dyDescent="0.2">
      <c r="A181" s="17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1:40" x14ac:dyDescent="0.2">
      <c r="A182" s="17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1:40" x14ac:dyDescent="0.2">
      <c r="A183" s="17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1:40" x14ac:dyDescent="0.2">
      <c r="A184" s="17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1:40" x14ac:dyDescent="0.2">
      <c r="A185" s="17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1:40" x14ac:dyDescent="0.2">
      <c r="A186" s="17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1:40" x14ac:dyDescent="0.2">
      <c r="A187" s="17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1:40" x14ac:dyDescent="0.2">
      <c r="A188" s="17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1:40" x14ac:dyDescent="0.2">
      <c r="A189" s="17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1:40" x14ac:dyDescent="0.2">
      <c r="A190" s="17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1:40" x14ac:dyDescent="0.2">
      <c r="A191" s="17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1:40" x14ac:dyDescent="0.2">
      <c r="A192" s="17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1:40" x14ac:dyDescent="0.2">
      <c r="A193" s="17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1:40" x14ac:dyDescent="0.2">
      <c r="A194" s="17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1:40" x14ac:dyDescent="0.2">
      <c r="A195" s="17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1:40" x14ac:dyDescent="0.2">
      <c r="A196" s="17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1:40" x14ac:dyDescent="0.2">
      <c r="A197" s="17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1:40" x14ac:dyDescent="0.2">
      <c r="A198" s="17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1:40" x14ac:dyDescent="0.2">
      <c r="A199" s="17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1:40" x14ac:dyDescent="0.2">
      <c r="A200" s="17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1:40" x14ac:dyDescent="0.2">
      <c r="A201" s="17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1:40" x14ac:dyDescent="0.2">
      <c r="A202" s="17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1:40" x14ac:dyDescent="0.2">
      <c r="A203" s="17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1:40" x14ac:dyDescent="0.2">
      <c r="A204" s="17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1:40" x14ac:dyDescent="0.2">
      <c r="A205" s="17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1:40" x14ac:dyDescent="0.2">
      <c r="A206" s="17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1:40" x14ac:dyDescent="0.2">
      <c r="A207" s="17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1:40" x14ac:dyDescent="0.2">
      <c r="A208" s="17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1:40" x14ac:dyDescent="0.2">
      <c r="A209" s="17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1:40" x14ac:dyDescent="0.2">
      <c r="A210" s="17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1:40" x14ac:dyDescent="0.2">
      <c r="A211" s="17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1:40" x14ac:dyDescent="0.2">
      <c r="A212" s="17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1:40" x14ac:dyDescent="0.2">
      <c r="A213" s="17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1:40" x14ac:dyDescent="0.2">
      <c r="A214" s="17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1:40" x14ac:dyDescent="0.2">
      <c r="A215" s="17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1:40" x14ac:dyDescent="0.2">
      <c r="A216" s="17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1:40" x14ac:dyDescent="0.2">
      <c r="A217" s="17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1:40" x14ac:dyDescent="0.2">
      <c r="A218" s="17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1:40" x14ac:dyDescent="0.2">
      <c r="A219" s="17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1:40" x14ac:dyDescent="0.2">
      <c r="A220" s="17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1:40" x14ac:dyDescent="0.2">
      <c r="A221" s="17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1:40" x14ac:dyDescent="0.2">
      <c r="A222" s="17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1:40" x14ac:dyDescent="0.2">
      <c r="A223" s="17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1:40" x14ac:dyDescent="0.2">
      <c r="A224" s="17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1:40" x14ac:dyDescent="0.2">
      <c r="A225" s="17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1:40" x14ac:dyDescent="0.2">
      <c r="A226" s="17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1:40" x14ac:dyDescent="0.2">
      <c r="A227" s="17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1:40" x14ac:dyDescent="0.2">
      <c r="A228" s="17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1:40" x14ac:dyDescent="0.2">
      <c r="A229" s="17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1:40" x14ac:dyDescent="0.2">
      <c r="A230" s="17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1:40" x14ac:dyDescent="0.2">
      <c r="A231" s="17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1:40" x14ac:dyDescent="0.2">
      <c r="A232" s="17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1:40" x14ac:dyDescent="0.2">
      <c r="A233" s="17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1:40" x14ac:dyDescent="0.2">
      <c r="A234" s="17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1:40" x14ac:dyDescent="0.2">
      <c r="A235" s="17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1:40" x14ac:dyDescent="0.2">
      <c r="A236" s="17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1:40" x14ac:dyDescent="0.2">
      <c r="A237" s="17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1:40" x14ac:dyDescent="0.2">
      <c r="A238" s="17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1:40" x14ac:dyDescent="0.2">
      <c r="A239" s="17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1:40" x14ac:dyDescent="0.2">
      <c r="A240" s="17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1:40" x14ac:dyDescent="0.2">
      <c r="A241" s="17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1:40" x14ac:dyDescent="0.2">
      <c r="A242" s="17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1:40" x14ac:dyDescent="0.2">
      <c r="A243" s="17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1:40" x14ac:dyDescent="0.2">
      <c r="A244" s="17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1:40" x14ac:dyDescent="0.2">
      <c r="A245" s="17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1:40" x14ac:dyDescent="0.2">
      <c r="A246" s="17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1:40" x14ac:dyDescent="0.2">
      <c r="A247" s="17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1:40" x14ac:dyDescent="0.2">
      <c r="A248" s="17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1:40" x14ac:dyDescent="0.2">
      <c r="A249" s="17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1:40" x14ac:dyDescent="0.2">
      <c r="A250" s="17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1:40" x14ac:dyDescent="0.2">
      <c r="A251" s="17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1:40" x14ac:dyDescent="0.2">
      <c r="A252" s="17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1:40" x14ac:dyDescent="0.2">
      <c r="A253" s="17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1:40" x14ac:dyDescent="0.2">
      <c r="A254" s="17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1:40" x14ac:dyDescent="0.2">
      <c r="A255" s="17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1:40" x14ac:dyDescent="0.2">
      <c r="A256" s="17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1:40" x14ac:dyDescent="0.2">
      <c r="A257" s="17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1:40" x14ac:dyDescent="0.2">
      <c r="A258" s="17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1:40" x14ac:dyDescent="0.2">
      <c r="A259" s="17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1:40" x14ac:dyDescent="0.2">
      <c r="A260" s="17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1:40" x14ac:dyDescent="0.2">
      <c r="A261" s="17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1:40" x14ac:dyDescent="0.2">
      <c r="A262" s="17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1:40" x14ac:dyDescent="0.2">
      <c r="A263" s="17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1:40" x14ac:dyDescent="0.2">
      <c r="A264" s="17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1:40" x14ac:dyDescent="0.2">
      <c r="A265" s="17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1:40" x14ac:dyDescent="0.2">
      <c r="A266" s="17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1:40" x14ac:dyDescent="0.2">
      <c r="A267" s="17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1:40" x14ac:dyDescent="0.2">
      <c r="A268" s="17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1:40" x14ac:dyDescent="0.2">
      <c r="A269" s="17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1:40" x14ac:dyDescent="0.2">
      <c r="A270" s="17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1:40" x14ac:dyDescent="0.2">
      <c r="A271" s="17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1:40" x14ac:dyDescent="0.2">
      <c r="A272" s="17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1:40" x14ac:dyDescent="0.2">
      <c r="A273" s="17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1:40" x14ac:dyDescent="0.2">
      <c r="A274" s="17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1:40" x14ac:dyDescent="0.2">
      <c r="A275" s="17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1:40" x14ac:dyDescent="0.2">
      <c r="A276" s="17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1:40" x14ac:dyDescent="0.2">
      <c r="A277" s="17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1:40" x14ac:dyDescent="0.2">
      <c r="A278" s="17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1:40" x14ac:dyDescent="0.2">
      <c r="A279" s="17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1:40" x14ac:dyDescent="0.2">
      <c r="A280" s="17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1:40" x14ac:dyDescent="0.2">
      <c r="A281" s="17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1:40" x14ac:dyDescent="0.2">
      <c r="A282" s="17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1:40" x14ac:dyDescent="0.2">
      <c r="A283" s="17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1:40" x14ac:dyDescent="0.2">
      <c r="A284" s="17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1:40" x14ac:dyDescent="0.2">
      <c r="A285" s="17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1:40" x14ac:dyDescent="0.2">
      <c r="A286" s="17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1:40" x14ac:dyDescent="0.2">
      <c r="A287" s="17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1:40" x14ac:dyDescent="0.2">
      <c r="A288" s="17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1:40" x14ac:dyDescent="0.2">
      <c r="A289" s="17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1:40" x14ac:dyDescent="0.2">
      <c r="A290" s="17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1:40" x14ac:dyDescent="0.2">
      <c r="A291" s="17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1:40" x14ac:dyDescent="0.2">
      <c r="A292" s="17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1:40" x14ac:dyDescent="0.2">
      <c r="A293" s="17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1:40" x14ac:dyDescent="0.2">
      <c r="A294" s="17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1:40" x14ac:dyDescent="0.2">
      <c r="A295" s="17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1:40" x14ac:dyDescent="0.2">
      <c r="A296" s="17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1:40" x14ac:dyDescent="0.2">
      <c r="A297" s="17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1:40" x14ac:dyDescent="0.2">
      <c r="A298" s="17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1:40" x14ac:dyDescent="0.2">
      <c r="A299" s="17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1:40" x14ac:dyDescent="0.2">
      <c r="A300" s="17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1:40" x14ac:dyDescent="0.2">
      <c r="A301" s="17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1:40" x14ac:dyDescent="0.2">
      <c r="A302" s="17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1:40" x14ac:dyDescent="0.2">
      <c r="A303" s="17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1:40" x14ac:dyDescent="0.2">
      <c r="A304" s="17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1:40" x14ac:dyDescent="0.2">
      <c r="A305" s="17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1:40" x14ac:dyDescent="0.2">
      <c r="A306" s="17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1:40" x14ac:dyDescent="0.2">
      <c r="A307" s="17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1:40" x14ac:dyDescent="0.2">
      <c r="A308" s="17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1:40" x14ac:dyDescent="0.2">
      <c r="A309" s="17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1:40" x14ac:dyDescent="0.2">
      <c r="A310" s="17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1:40" x14ac:dyDescent="0.2">
      <c r="A311" s="17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1:40" x14ac:dyDescent="0.2">
      <c r="A312" s="17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1:40" x14ac:dyDescent="0.2">
      <c r="A313" s="17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1:40" x14ac:dyDescent="0.2">
      <c r="A314" s="17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1:40" x14ac:dyDescent="0.2">
      <c r="A315" s="17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1:40" x14ac:dyDescent="0.2">
      <c r="A316" s="17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1:40" x14ac:dyDescent="0.2">
      <c r="A317" s="17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1:40" x14ac:dyDescent="0.2">
      <c r="A318" s="17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1:40" x14ac:dyDescent="0.2">
      <c r="A319" s="17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1:40" x14ac:dyDescent="0.2">
      <c r="A320" s="17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1:40" x14ac:dyDescent="0.2">
      <c r="A321" s="17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1:40" x14ac:dyDescent="0.2">
      <c r="A322" s="17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1:40" x14ac:dyDescent="0.2">
      <c r="A323" s="17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1:40" x14ac:dyDescent="0.2">
      <c r="A324" s="17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1:40" x14ac:dyDescent="0.2">
      <c r="A325" s="17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1:40" x14ac:dyDescent="0.2">
      <c r="A326" s="17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1:40" x14ac:dyDescent="0.2">
      <c r="A327" s="17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1:40" x14ac:dyDescent="0.2">
      <c r="A328" s="17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1:40" x14ac:dyDescent="0.2">
      <c r="A329" s="17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1:40" x14ac:dyDescent="0.2">
      <c r="A330" s="17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1:40" x14ac:dyDescent="0.2">
      <c r="A331" s="17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1:40" x14ac:dyDescent="0.2">
      <c r="A332" s="17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1:40" x14ac:dyDescent="0.2">
      <c r="A333" s="17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1:40" x14ac:dyDescent="0.2">
      <c r="A334" s="17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1:40" x14ac:dyDescent="0.2">
      <c r="A335" s="17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1:40" x14ac:dyDescent="0.2">
      <c r="A336" s="17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1:40" x14ac:dyDescent="0.2">
      <c r="A337" s="17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1:40" x14ac:dyDescent="0.2">
      <c r="A338" s="17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1:40" x14ac:dyDescent="0.2">
      <c r="A339" s="17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1:40" x14ac:dyDescent="0.2">
      <c r="A340" s="17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1:40" x14ac:dyDescent="0.2">
      <c r="A341" s="17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1:40" x14ac:dyDescent="0.2">
      <c r="A342" s="17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1:40" x14ac:dyDescent="0.2">
      <c r="A343" s="17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1:40" x14ac:dyDescent="0.2">
      <c r="A344" s="17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1:40" x14ac:dyDescent="0.2">
      <c r="A345" s="17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1:40" x14ac:dyDescent="0.2">
      <c r="A346" s="17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1:40" x14ac:dyDescent="0.2">
      <c r="A347" s="17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1:40" x14ac:dyDescent="0.2">
      <c r="A348" s="17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1:40" x14ac:dyDescent="0.2">
      <c r="A349" s="17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1:40" x14ac:dyDescent="0.2">
      <c r="A350" s="17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1:40" x14ac:dyDescent="0.2">
      <c r="A351" s="17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1:40" x14ac:dyDescent="0.2">
      <c r="A352" s="17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1:40" x14ac:dyDescent="0.2">
      <c r="A353" s="17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1:40" x14ac:dyDescent="0.2">
      <c r="A354" s="17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1:40" x14ac:dyDescent="0.2">
      <c r="A355" s="17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1:40" x14ac:dyDescent="0.2">
      <c r="A356" s="17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1:40" x14ac:dyDescent="0.2">
      <c r="A357" s="17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1:40" x14ac:dyDescent="0.2">
      <c r="A358" s="17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1:40" x14ac:dyDescent="0.2">
      <c r="A359" s="17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1:40" x14ac:dyDescent="0.2">
      <c r="A360" s="17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1:40" x14ac:dyDescent="0.2">
      <c r="A361" s="17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1:40" x14ac:dyDescent="0.2">
      <c r="A362" s="17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1:40" x14ac:dyDescent="0.2">
      <c r="A363" s="17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1:40" x14ac:dyDescent="0.2">
      <c r="A364" s="17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1:40" x14ac:dyDescent="0.2">
      <c r="A365" s="17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1:40" x14ac:dyDescent="0.2">
      <c r="A366" s="17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1:40" x14ac:dyDescent="0.2">
      <c r="A367" s="17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1:40" x14ac:dyDescent="0.2">
      <c r="A368" s="17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1:40" x14ac:dyDescent="0.2">
      <c r="A369" s="17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1:40" x14ac:dyDescent="0.2">
      <c r="A370" s="17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1:40" x14ac:dyDescent="0.2">
      <c r="A371" s="17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1:40" x14ac:dyDescent="0.2">
      <c r="A372" s="17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1:40" x14ac:dyDescent="0.2">
      <c r="A373" s="17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1:40" x14ac:dyDescent="0.2">
      <c r="A374" s="17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spans="1:40" x14ac:dyDescent="0.2">
      <c r="A375" s="17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spans="1:40" x14ac:dyDescent="0.2">
      <c r="A376" s="17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spans="1:40" x14ac:dyDescent="0.2">
      <c r="A377" s="17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spans="1:40" x14ac:dyDescent="0.2">
      <c r="A378" s="17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spans="1:40" x14ac:dyDescent="0.2">
      <c r="A379" s="17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spans="1:40" x14ac:dyDescent="0.2">
      <c r="A380" s="17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spans="1:40" x14ac:dyDescent="0.2">
      <c r="A381" s="17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spans="1:40" x14ac:dyDescent="0.2">
      <c r="A382" s="17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spans="1:40" x14ac:dyDescent="0.2">
      <c r="A383" s="17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spans="1:40" x14ac:dyDescent="0.2">
      <c r="A384" s="17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spans="1:40" x14ac:dyDescent="0.2">
      <c r="A385" s="17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spans="1:40" x14ac:dyDescent="0.2">
      <c r="A386" s="17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spans="1:40" x14ac:dyDescent="0.2">
      <c r="A387" s="17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spans="1:40" x14ac:dyDescent="0.2">
      <c r="A388" s="17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spans="1:40" x14ac:dyDescent="0.2">
      <c r="A389" s="17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spans="1:40" x14ac:dyDescent="0.2">
      <c r="A390" s="17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spans="1:40" x14ac:dyDescent="0.2">
      <c r="A391" s="17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spans="1:40" x14ac:dyDescent="0.2">
      <c r="A392" s="17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spans="1:40" x14ac:dyDescent="0.2">
      <c r="A393" s="17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spans="1:40" x14ac:dyDescent="0.2">
      <c r="A394" s="17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spans="1:40" x14ac:dyDescent="0.2">
      <c r="A395" s="17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spans="1:40" x14ac:dyDescent="0.2">
      <c r="A396" s="17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spans="1:40" x14ac:dyDescent="0.2">
      <c r="A397" s="17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spans="1:40" x14ac:dyDescent="0.2">
      <c r="A398" s="17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spans="1:40" x14ac:dyDescent="0.2">
      <c r="A399" s="17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spans="1:40" x14ac:dyDescent="0.2">
      <c r="A400" s="17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spans="1:40" x14ac:dyDescent="0.2">
      <c r="A401" s="17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spans="1:40" x14ac:dyDescent="0.2">
      <c r="A402" s="17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spans="1:40" x14ac:dyDescent="0.2">
      <c r="A403" s="17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spans="1:40" x14ac:dyDescent="0.2">
      <c r="A404" s="17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spans="1:40" x14ac:dyDescent="0.2">
      <c r="A405" s="17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spans="1:40" x14ac:dyDescent="0.2">
      <c r="A406" s="17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spans="1:40" x14ac:dyDescent="0.2">
      <c r="A407" s="17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spans="1:40" x14ac:dyDescent="0.2">
      <c r="A408" s="17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spans="1:40" x14ac:dyDescent="0.2">
      <c r="A409" s="17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spans="1:40" x14ac:dyDescent="0.2">
      <c r="A410" s="17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spans="1:40" x14ac:dyDescent="0.2">
      <c r="A411" s="17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spans="1:40" x14ac:dyDescent="0.2">
      <c r="A412" s="17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spans="1:40" x14ac:dyDescent="0.2">
      <c r="A413" s="17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spans="1:40" x14ac:dyDescent="0.2">
      <c r="A414" s="17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spans="1:40" x14ac:dyDescent="0.2">
      <c r="A415" s="17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spans="1:40" x14ac:dyDescent="0.2">
      <c r="A416" s="17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spans="1:40" x14ac:dyDescent="0.2">
      <c r="A417" s="17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spans="1:40" x14ac:dyDescent="0.2">
      <c r="A418" s="17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spans="1:40" x14ac:dyDescent="0.2">
      <c r="A419" s="17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spans="1:40" x14ac:dyDescent="0.2">
      <c r="A420" s="17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spans="1:40" x14ac:dyDescent="0.2">
      <c r="A421" s="17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spans="1:40" x14ac:dyDescent="0.2">
      <c r="A422" s="17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spans="1:40" x14ac:dyDescent="0.2">
      <c r="A423" s="17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spans="1:40" x14ac:dyDescent="0.2">
      <c r="A424" s="17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spans="1:40" x14ac:dyDescent="0.2">
      <c r="A425" s="17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spans="1:40" x14ac:dyDescent="0.2">
      <c r="A426" s="17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spans="1:40" x14ac:dyDescent="0.2">
      <c r="A427" s="17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spans="1:40" x14ac:dyDescent="0.2">
      <c r="A428" s="17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spans="1:40" x14ac:dyDescent="0.2">
      <c r="A429" s="17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spans="1:40" x14ac:dyDescent="0.2">
      <c r="A430" s="17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spans="1:40" x14ac:dyDescent="0.2">
      <c r="A431" s="17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spans="1:40" x14ac:dyDescent="0.2">
      <c r="A432" s="17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spans="1:40" x14ac:dyDescent="0.2">
      <c r="A433" s="17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spans="1:40" x14ac:dyDescent="0.2">
      <c r="A434" s="17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spans="1:40" x14ac:dyDescent="0.2">
      <c r="A435" s="17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spans="1:40" x14ac:dyDescent="0.2">
      <c r="A436" s="17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spans="1:40" x14ac:dyDescent="0.2">
      <c r="A437" s="17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spans="1:40" x14ac:dyDescent="0.2">
      <c r="A438" s="17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spans="1:40" x14ac:dyDescent="0.2">
      <c r="A439" s="17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spans="1:40" x14ac:dyDescent="0.2">
      <c r="A440" s="17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spans="1:40" x14ac:dyDescent="0.2">
      <c r="A441" s="17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spans="1:40" x14ac:dyDescent="0.2">
      <c r="A442" s="17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spans="1:40" x14ac:dyDescent="0.2">
      <c r="A443" s="17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spans="1:40" x14ac:dyDescent="0.2">
      <c r="A444" s="17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spans="1:40" x14ac:dyDescent="0.2">
      <c r="A445" s="17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spans="1:40" x14ac:dyDescent="0.2">
      <c r="A446" s="17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spans="1:40" x14ac:dyDescent="0.2">
      <c r="A447" s="17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spans="1:40" x14ac:dyDescent="0.2">
      <c r="A448" s="17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spans="1:40" x14ac:dyDescent="0.2">
      <c r="A449" s="17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spans="1:40" x14ac:dyDescent="0.2">
      <c r="A450" s="17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spans="1:40" x14ac:dyDescent="0.2">
      <c r="A451" s="17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spans="1:40" x14ac:dyDescent="0.2">
      <c r="A452" s="17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spans="1:40" x14ac:dyDescent="0.2">
      <c r="A453" s="17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spans="1:40" x14ac:dyDescent="0.2">
      <c r="A454" s="17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spans="1:40" x14ac:dyDescent="0.2">
      <c r="A455" s="17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spans="1:40" x14ac:dyDescent="0.2">
      <c r="A456" s="17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spans="1:40" x14ac:dyDescent="0.2">
      <c r="A457" s="17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spans="1:40" x14ac:dyDescent="0.2">
      <c r="A458" s="17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spans="1:40" x14ac:dyDescent="0.2">
      <c r="A459" s="17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spans="1:40" x14ac:dyDescent="0.2">
      <c r="A460" s="17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spans="1:40" x14ac:dyDescent="0.2">
      <c r="A461" s="17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spans="1:40" x14ac:dyDescent="0.2">
      <c r="A462" s="17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spans="1:40" x14ac:dyDescent="0.2">
      <c r="A463" s="17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spans="1:40" x14ac:dyDescent="0.2">
      <c r="A464" s="17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spans="1:40" x14ac:dyDescent="0.2">
      <c r="A465" s="17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spans="1:40" x14ac:dyDescent="0.2">
      <c r="A466" s="17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spans="1:40" x14ac:dyDescent="0.2">
      <c r="A467" s="17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spans="1:40" x14ac:dyDescent="0.2">
      <c r="A468" s="17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spans="1:40" x14ac:dyDescent="0.2">
      <c r="A469" s="17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spans="1:40" x14ac:dyDescent="0.2">
      <c r="A470" s="17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spans="1:40" x14ac:dyDescent="0.2">
      <c r="A471" s="17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spans="1:40" x14ac:dyDescent="0.2">
      <c r="A472" s="17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spans="1:40" x14ac:dyDescent="0.2">
      <c r="A473" s="17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spans="1:40" x14ac:dyDescent="0.2">
      <c r="A474" s="17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spans="1:40" x14ac:dyDescent="0.2">
      <c r="A475" s="17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spans="1:40" x14ac:dyDescent="0.2">
      <c r="A476" s="17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spans="1:40" x14ac:dyDescent="0.2">
      <c r="A477" s="17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spans="1:40" x14ac:dyDescent="0.2">
      <c r="A478" s="17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spans="1:40" x14ac:dyDescent="0.2">
      <c r="A479" s="17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spans="1:40" x14ac:dyDescent="0.2">
      <c r="A480" s="17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spans="1:40" x14ac:dyDescent="0.2">
      <c r="A481" s="17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spans="1:40" x14ac:dyDescent="0.2">
      <c r="A482" s="17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spans="1:40" x14ac:dyDescent="0.2">
      <c r="A483" s="17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spans="1:40" x14ac:dyDescent="0.2">
      <c r="A484" s="17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spans="1:40" x14ac:dyDescent="0.2">
      <c r="A485" s="17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spans="1:40" x14ac:dyDescent="0.2">
      <c r="A486" s="17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spans="1:40" x14ac:dyDescent="0.2">
      <c r="A487" s="17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spans="1:40" x14ac:dyDescent="0.2">
      <c r="A488" s="17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spans="1:40" x14ac:dyDescent="0.2">
      <c r="A489" s="17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spans="1:40" x14ac:dyDescent="0.2">
      <c r="A490" s="17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spans="1:40" x14ac:dyDescent="0.2">
      <c r="A491" s="17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spans="1:40" x14ac:dyDescent="0.2">
      <c r="A492" s="17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spans="1:40" x14ac:dyDescent="0.2">
      <c r="A493" s="17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spans="1:40" x14ac:dyDescent="0.2">
      <c r="A494" s="17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spans="1:40" x14ac:dyDescent="0.2">
      <c r="A495" s="17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spans="1:40" x14ac:dyDescent="0.2">
      <c r="A496" s="17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spans="1:40" x14ac:dyDescent="0.2">
      <c r="A497" s="17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spans="1:40" x14ac:dyDescent="0.2">
      <c r="A498" s="17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spans="1:40" x14ac:dyDescent="0.2">
      <c r="A499" s="17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spans="1:40" x14ac:dyDescent="0.2">
      <c r="A500" s="17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spans="1:40" x14ac:dyDescent="0.2">
      <c r="A501" s="17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spans="1:40" x14ac:dyDescent="0.2">
      <c r="A502" s="17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spans="1:40" x14ac:dyDescent="0.2">
      <c r="A503" s="17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spans="1:40" x14ac:dyDescent="0.2">
      <c r="A504" s="17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spans="1:40" x14ac:dyDescent="0.2">
      <c r="A505" s="17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spans="1:40" x14ac:dyDescent="0.2">
      <c r="A506" s="17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spans="1:40" x14ac:dyDescent="0.2">
      <c r="A507" s="17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spans="1:40" x14ac:dyDescent="0.2">
      <c r="A508" s="17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spans="1:40" x14ac:dyDescent="0.2">
      <c r="A509" s="17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spans="1:40" x14ac:dyDescent="0.2">
      <c r="A510" s="17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spans="1:40" x14ac:dyDescent="0.2">
      <c r="A511" s="17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spans="1:40" x14ac:dyDescent="0.2">
      <c r="A512" s="17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spans="1:40" x14ac:dyDescent="0.2">
      <c r="A513" s="17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spans="1:40" x14ac:dyDescent="0.2">
      <c r="A514" s="17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spans="1:40" x14ac:dyDescent="0.2">
      <c r="A515" s="17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spans="1:40" x14ac:dyDescent="0.2">
      <c r="A516" s="17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spans="1:40" x14ac:dyDescent="0.2">
      <c r="A517" s="17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spans="1:40" x14ac:dyDescent="0.2">
      <c r="A518" s="17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spans="1:40" x14ac:dyDescent="0.2">
      <c r="A519" s="17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spans="1:40" x14ac:dyDescent="0.2">
      <c r="A520" s="17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spans="1:40" x14ac:dyDescent="0.2">
      <c r="A521" s="17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spans="1:40" x14ac:dyDescent="0.2">
      <c r="A522" s="17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spans="1:40" x14ac:dyDescent="0.2">
      <c r="A523" s="17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spans="1:40" x14ac:dyDescent="0.2">
      <c r="A524" s="17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spans="1:40" x14ac:dyDescent="0.2">
      <c r="A525" s="17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spans="1:40" x14ac:dyDescent="0.2">
      <c r="A526" s="17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spans="1:40" x14ac:dyDescent="0.2">
      <c r="A527" s="17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spans="1:40" x14ac:dyDescent="0.2">
      <c r="A528" s="17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spans="1:40" x14ac:dyDescent="0.2">
      <c r="A529" s="17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spans="1:40" x14ac:dyDescent="0.2">
      <c r="A530" s="17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spans="1:40" x14ac:dyDescent="0.2">
      <c r="A531" s="17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spans="1:40" x14ac:dyDescent="0.2">
      <c r="A532" s="17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spans="1:40" x14ac:dyDescent="0.2">
      <c r="A533" s="17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spans="1:40" x14ac:dyDescent="0.2">
      <c r="A534" s="17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spans="1:40" x14ac:dyDescent="0.2">
      <c r="A535" s="17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spans="1:40" x14ac:dyDescent="0.2">
      <c r="A536" s="17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spans="1:40" x14ac:dyDescent="0.2">
      <c r="A537" s="17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spans="1:40" x14ac:dyDescent="0.2">
      <c r="A538" s="17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spans="1:40" x14ac:dyDescent="0.2">
      <c r="A539" s="17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spans="1:40" x14ac:dyDescent="0.2">
      <c r="A540" s="17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spans="1:40" x14ac:dyDescent="0.2">
      <c r="A541" s="17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spans="1:40" x14ac:dyDescent="0.2">
      <c r="A542" s="17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spans="1:40" x14ac:dyDescent="0.2">
      <c r="A543" s="17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spans="1:40" x14ac:dyDescent="0.2">
      <c r="A544" s="17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spans="1:40" x14ac:dyDescent="0.2">
      <c r="A545" s="17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spans="1:40" x14ac:dyDescent="0.2">
      <c r="A546" s="17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spans="1:40" x14ac:dyDescent="0.2">
      <c r="A547" s="17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spans="1:40" x14ac:dyDescent="0.2">
      <c r="A548" s="17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spans="1:40" x14ac:dyDescent="0.2">
      <c r="A549" s="17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spans="1:40" x14ac:dyDescent="0.2">
      <c r="A550" s="17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  <row r="551" spans="1:40" x14ac:dyDescent="0.2">
      <c r="A551" s="17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</row>
    <row r="552" spans="1:40" x14ac:dyDescent="0.2">
      <c r="A552" s="17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</row>
    <row r="553" spans="1:40" x14ac:dyDescent="0.2">
      <c r="A553" s="17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</row>
    <row r="554" spans="1:40" x14ac:dyDescent="0.2">
      <c r="A554" s="17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</row>
    <row r="555" spans="1:40" x14ac:dyDescent="0.2">
      <c r="A555" s="17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</row>
    <row r="556" spans="1:40" x14ac:dyDescent="0.2">
      <c r="A556" s="17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</row>
    <row r="557" spans="1:40" x14ac:dyDescent="0.2">
      <c r="A557" s="17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</row>
    <row r="558" spans="1:40" x14ac:dyDescent="0.2">
      <c r="A558" s="17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</row>
    <row r="559" spans="1:40" x14ac:dyDescent="0.2">
      <c r="A559" s="17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</row>
    <row r="560" spans="1:40" x14ac:dyDescent="0.2">
      <c r="A560" s="17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</row>
    <row r="561" spans="1:40" x14ac:dyDescent="0.2">
      <c r="A561" s="17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</row>
    <row r="562" spans="1:40" x14ac:dyDescent="0.2">
      <c r="A562" s="17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</row>
    <row r="563" spans="1:40" x14ac:dyDescent="0.2">
      <c r="A563" s="17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</row>
    <row r="564" spans="1:40" x14ac:dyDescent="0.2">
      <c r="A564" s="17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</row>
    <row r="565" spans="1:40" x14ac:dyDescent="0.2">
      <c r="A565" s="17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</row>
    <row r="566" spans="1:40" x14ac:dyDescent="0.2">
      <c r="A566" s="17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</row>
    <row r="567" spans="1:40" x14ac:dyDescent="0.2">
      <c r="A567" s="17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</row>
    <row r="568" spans="1:40" x14ac:dyDescent="0.2">
      <c r="A568" s="17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</row>
    <row r="569" spans="1:40" x14ac:dyDescent="0.2">
      <c r="A569" s="17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</row>
    <row r="570" spans="1:40" x14ac:dyDescent="0.2">
      <c r="A570" s="17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</row>
    <row r="571" spans="1:40" x14ac:dyDescent="0.2">
      <c r="A571" s="17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</row>
    <row r="572" spans="1:40" x14ac:dyDescent="0.2">
      <c r="A572" s="17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</row>
    <row r="573" spans="1:40" x14ac:dyDescent="0.2">
      <c r="A573" s="17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</row>
    <row r="574" spans="1:40" x14ac:dyDescent="0.2">
      <c r="A574" s="17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</row>
    <row r="575" spans="1:40" x14ac:dyDescent="0.2">
      <c r="A575" s="17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</row>
    <row r="576" spans="1:40" x14ac:dyDescent="0.2">
      <c r="A576" s="17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</row>
    <row r="577" spans="1:40" x14ac:dyDescent="0.2">
      <c r="A577" s="17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</row>
    <row r="578" spans="1:40" x14ac:dyDescent="0.2">
      <c r="A578" s="17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</row>
    <row r="579" spans="1:40" x14ac:dyDescent="0.2">
      <c r="A579" s="17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</row>
    <row r="580" spans="1:40" x14ac:dyDescent="0.2">
      <c r="A580" s="17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</row>
    <row r="581" spans="1:40" x14ac:dyDescent="0.2">
      <c r="A581" s="17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</row>
    <row r="582" spans="1:40" x14ac:dyDescent="0.2">
      <c r="A582" s="17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</row>
    <row r="583" spans="1:40" x14ac:dyDescent="0.2">
      <c r="A583" s="17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</row>
    <row r="584" spans="1:40" x14ac:dyDescent="0.2">
      <c r="A584" s="17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</row>
    <row r="585" spans="1:40" x14ac:dyDescent="0.2">
      <c r="A585" s="17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</row>
    <row r="586" spans="1:40" x14ac:dyDescent="0.2">
      <c r="A586" s="17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</row>
    <row r="587" spans="1:40" x14ac:dyDescent="0.2">
      <c r="A587" s="17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</row>
    <row r="588" spans="1:40" x14ac:dyDescent="0.2">
      <c r="A588" s="17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</row>
    <row r="589" spans="1:40" x14ac:dyDescent="0.2">
      <c r="A589" s="17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</row>
    <row r="590" spans="1:40" x14ac:dyDescent="0.2">
      <c r="A590" s="17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</row>
    <row r="591" spans="1:40" x14ac:dyDescent="0.2">
      <c r="A591" s="17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</row>
    <row r="592" spans="1:40" x14ac:dyDescent="0.2">
      <c r="A592" s="17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</row>
    <row r="593" spans="1:40" x14ac:dyDescent="0.2">
      <c r="A593" s="17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</row>
    <row r="594" spans="1:40" x14ac:dyDescent="0.2">
      <c r="A594" s="17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</row>
    <row r="595" spans="1:40" x14ac:dyDescent="0.2">
      <c r="A595" s="17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</row>
    <row r="596" spans="1:40" x14ac:dyDescent="0.2">
      <c r="A596" s="17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</row>
    <row r="597" spans="1:40" x14ac:dyDescent="0.2">
      <c r="A597" s="17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</row>
    <row r="598" spans="1:40" x14ac:dyDescent="0.2">
      <c r="A598" s="17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</row>
    <row r="599" spans="1:40" x14ac:dyDescent="0.2">
      <c r="A599" s="17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</row>
    <row r="600" spans="1:40" x14ac:dyDescent="0.2">
      <c r="A600" s="17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</row>
    <row r="601" spans="1:40" x14ac:dyDescent="0.2">
      <c r="A601" s="17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</row>
    <row r="602" spans="1:40" x14ac:dyDescent="0.2">
      <c r="A602" s="17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</row>
    <row r="603" spans="1:40" x14ac:dyDescent="0.2">
      <c r="A603" s="17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</row>
    <row r="604" spans="1:40" x14ac:dyDescent="0.2">
      <c r="A604" s="17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</row>
    <row r="605" spans="1:40" x14ac:dyDescent="0.2">
      <c r="A605" s="17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</row>
    <row r="606" spans="1:40" x14ac:dyDescent="0.2">
      <c r="A606" s="17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</row>
    <row r="607" spans="1:40" x14ac:dyDescent="0.2">
      <c r="A607" s="17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</row>
    <row r="608" spans="1:40" x14ac:dyDescent="0.2">
      <c r="A608" s="17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</row>
    <row r="609" spans="1:40" x14ac:dyDescent="0.2">
      <c r="A609" s="17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</row>
    <row r="610" spans="1:40" x14ac:dyDescent="0.2">
      <c r="A610" s="17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</row>
    <row r="611" spans="1:40" x14ac:dyDescent="0.2">
      <c r="A611" s="17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</row>
    <row r="612" spans="1:40" x14ac:dyDescent="0.2">
      <c r="A612" s="17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</row>
    <row r="613" spans="1:40" x14ac:dyDescent="0.2">
      <c r="A613" s="17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</row>
    <row r="614" spans="1:40" x14ac:dyDescent="0.2">
      <c r="A614" s="17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</row>
    <row r="615" spans="1:40" x14ac:dyDescent="0.2">
      <c r="A615" s="17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</row>
    <row r="616" spans="1:40" x14ac:dyDescent="0.2">
      <c r="A616" s="17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</row>
    <row r="617" spans="1:40" x14ac:dyDescent="0.2">
      <c r="A617" s="17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</row>
    <row r="618" spans="1:40" x14ac:dyDescent="0.2">
      <c r="A618" s="17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</row>
    <row r="619" spans="1:40" x14ac:dyDescent="0.2">
      <c r="A619" s="17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</row>
    <row r="620" spans="1:40" x14ac:dyDescent="0.2">
      <c r="A620" s="17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</row>
    <row r="621" spans="1:40" x14ac:dyDescent="0.2">
      <c r="A621" s="17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</row>
    <row r="622" spans="1:40" x14ac:dyDescent="0.2">
      <c r="A622" s="17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</row>
    <row r="623" spans="1:40" x14ac:dyDescent="0.2">
      <c r="A623" s="17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</row>
    <row r="624" spans="1:40" x14ac:dyDescent="0.2">
      <c r="A624" s="17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</row>
    <row r="625" spans="1:40" x14ac:dyDescent="0.2">
      <c r="A625" s="17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</row>
    <row r="626" spans="1:40" x14ac:dyDescent="0.2">
      <c r="A626" s="17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</row>
    <row r="627" spans="1:40" x14ac:dyDescent="0.2">
      <c r="A627" s="17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</row>
    <row r="628" spans="1:40" x14ac:dyDescent="0.2">
      <c r="A628" s="17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</row>
    <row r="629" spans="1:40" x14ac:dyDescent="0.2">
      <c r="A629" s="17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</row>
    <row r="630" spans="1:40" x14ac:dyDescent="0.2">
      <c r="A630" s="17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</row>
    <row r="631" spans="1:40" x14ac:dyDescent="0.2">
      <c r="A631" s="17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</row>
    <row r="632" spans="1:40" x14ac:dyDescent="0.2">
      <c r="A632" s="17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</row>
    <row r="633" spans="1:40" x14ac:dyDescent="0.2">
      <c r="A633" s="17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</row>
    <row r="634" spans="1:40" x14ac:dyDescent="0.2">
      <c r="A634" s="17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</row>
    <row r="635" spans="1:40" x14ac:dyDescent="0.2">
      <c r="A635" s="17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</row>
    <row r="636" spans="1:40" x14ac:dyDescent="0.2">
      <c r="A636" s="17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</row>
    <row r="637" spans="1:40" x14ac:dyDescent="0.2">
      <c r="A637" s="17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</row>
    <row r="638" spans="1:40" x14ac:dyDescent="0.2">
      <c r="A638" s="17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</row>
    <row r="639" spans="1:40" x14ac:dyDescent="0.2">
      <c r="A639" s="17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</row>
    <row r="640" spans="1:40" x14ac:dyDescent="0.2">
      <c r="A640" s="17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</row>
    <row r="641" spans="1:40" x14ac:dyDescent="0.2">
      <c r="A641" s="17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</row>
    <row r="642" spans="1:40" x14ac:dyDescent="0.2">
      <c r="A642" s="17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</row>
    <row r="643" spans="1:40" x14ac:dyDescent="0.2">
      <c r="A643" s="17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</row>
    <row r="644" spans="1:40" x14ac:dyDescent="0.2">
      <c r="A644" s="17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</row>
    <row r="645" spans="1:40" x14ac:dyDescent="0.2">
      <c r="A645" s="17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</row>
    <row r="646" spans="1:40" x14ac:dyDescent="0.2">
      <c r="A646" s="17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</row>
    <row r="647" spans="1:40" x14ac:dyDescent="0.2">
      <c r="A647" s="17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</row>
    <row r="648" spans="1:40" x14ac:dyDescent="0.2">
      <c r="A648" s="17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</row>
  </sheetData>
  <printOptions horizontalCentered="1"/>
  <pageMargins left="0.5" right="0.5" top="0.5" bottom="0.5" header="0.5" footer="0.5"/>
  <pageSetup scale="46" orientation="landscape" r:id="rId1"/>
  <headerFooter>
    <oddFooter>&amp;RSchedule A-13
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2A52-F241-42F4-8D6B-23A80F538121}">
  <sheetPr transitionEvaluation="1" transitionEntry="1"/>
  <dimension ref="A1:HN190"/>
  <sheetViews>
    <sheetView showZeros="0" defaultGridColor="0" view="pageBreakPreview" topLeftCell="A16" colorId="22" zoomScaleNormal="80" zoomScaleSheetLayoutView="100" workbookViewId="0">
      <selection activeCell="J6" sqref="J6"/>
    </sheetView>
  </sheetViews>
  <sheetFormatPr defaultColWidth="9.77734375" defaultRowHeight="15" x14ac:dyDescent="0.2"/>
  <cols>
    <col min="1" max="1" width="20.6640625" style="18" customWidth="1"/>
    <col min="2" max="2" width="14.77734375" style="11" customWidth="1"/>
    <col min="3" max="3" width="13.5546875" style="11" customWidth="1"/>
    <col min="4" max="4" width="12.6640625" style="11" customWidth="1"/>
    <col min="5" max="5" width="11.33203125" style="11" customWidth="1"/>
    <col min="6" max="6" width="13.6640625" style="11" customWidth="1"/>
    <col min="7" max="7" width="13" style="11" customWidth="1"/>
    <col min="8" max="8" width="15.109375" style="11" customWidth="1"/>
    <col min="9" max="9" width="14.6640625" style="11" customWidth="1"/>
    <col min="10" max="10" width="19" style="11" customWidth="1"/>
    <col min="11" max="11" width="16.33203125" style="11" customWidth="1"/>
    <col min="12" max="12" width="13.109375" style="11" customWidth="1"/>
    <col min="13" max="13" width="3.21875" style="11" customWidth="1"/>
    <col min="14" max="16384" width="9.77734375" style="11"/>
  </cols>
  <sheetData>
    <row r="1" spans="1:222" s="1" customFormat="1" ht="40.5" x14ac:dyDescent="0.35">
      <c r="A1" s="191" t="str">
        <f>[2]INFORMATION!A1</f>
        <v>M&amp;I 2023 Sch A-13 F.Z25.XLSM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3"/>
      <c r="M1" s="33"/>
      <c r="N1" s="22"/>
      <c r="O1" s="22"/>
      <c r="P1" s="22"/>
      <c r="Q1" s="22"/>
      <c r="R1" s="22"/>
    </row>
    <row r="2" spans="1:222" s="1" customFormat="1" ht="20.25" x14ac:dyDescent="0.35">
      <c r="A2" s="104" t="str">
        <f>[2]INFORMATION!A2</f>
        <v>09/13/2022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3"/>
      <c r="M2" s="33"/>
      <c r="N2" s="22"/>
      <c r="O2" s="22"/>
      <c r="P2" s="22"/>
      <c r="Q2" s="22"/>
      <c r="R2" s="22"/>
    </row>
    <row r="3" spans="1:222" s="1" customFormat="1" ht="40.5" x14ac:dyDescent="0.35">
      <c r="A3" s="260" t="str">
        <f>PAGE_1!A3</f>
        <v>CENTRAL VALLEY PROJECT</v>
      </c>
      <c r="B3" s="116"/>
      <c r="C3" s="251"/>
      <c r="D3" s="251"/>
      <c r="E3" s="251"/>
      <c r="F3" s="251"/>
      <c r="G3" s="251"/>
      <c r="H3" s="251"/>
      <c r="I3" s="251"/>
      <c r="J3" s="251"/>
      <c r="K3" s="251"/>
      <c r="L3" s="74"/>
      <c r="M3" s="74"/>
      <c r="N3" s="22"/>
      <c r="O3" s="22"/>
      <c r="P3" s="22"/>
      <c r="Q3" s="22"/>
      <c r="R3" s="22"/>
    </row>
    <row r="4" spans="1:222" s="1" customFormat="1" ht="101.25" x14ac:dyDescent="0.35">
      <c r="A4" s="260" t="str">
        <f>PAGE_1!A4</f>
        <v>SCHEDULE OF HISTORICAL (1981-2021) &amp; PROJECTED (2022-2030) M&amp;I WATER DELIVERIES</v>
      </c>
      <c r="B4" s="116"/>
      <c r="C4" s="251"/>
      <c r="D4" s="251"/>
      <c r="E4" s="251"/>
      <c r="F4" s="251"/>
      <c r="G4" s="251"/>
      <c r="H4" s="251"/>
      <c r="I4" s="251"/>
      <c r="J4" s="251"/>
      <c r="K4" s="251"/>
      <c r="L4" s="74"/>
      <c r="M4" s="74"/>
      <c r="N4" s="22"/>
      <c r="O4" s="22"/>
      <c r="P4" s="22"/>
      <c r="Q4" s="22"/>
      <c r="R4" s="22"/>
    </row>
    <row r="5" spans="1:222" s="1" customFormat="1" ht="162" x14ac:dyDescent="0.35">
      <c r="A5" s="260" t="str">
        <f>PAGE_1!A5</f>
        <v xml:space="preserve">AND PRESENT WORTH @ .023755 FOR CALCULATION OF INDIVIDUAL CONTRACTOR PRORATED CONSTRUCTION COSTS AND RATE   </v>
      </c>
      <c r="B5" s="116"/>
      <c r="C5" s="251"/>
      <c r="D5" s="251"/>
      <c r="E5" s="251"/>
      <c r="F5" s="251"/>
      <c r="G5" s="251"/>
      <c r="H5" s="251"/>
      <c r="I5" s="251"/>
      <c r="J5" s="251"/>
      <c r="K5" s="251"/>
      <c r="L5" s="74"/>
      <c r="M5" s="74"/>
      <c r="N5" s="22"/>
      <c r="O5" s="22"/>
      <c r="P5" s="22"/>
      <c r="Q5" s="22"/>
      <c r="R5" s="22"/>
    </row>
    <row r="6" spans="1:222" s="25" customFormat="1" ht="103.5" x14ac:dyDescent="0.3">
      <c r="A6" s="246" t="s">
        <v>0</v>
      </c>
      <c r="B6" s="247" t="s">
        <v>178</v>
      </c>
      <c r="C6" s="266" t="s">
        <v>179</v>
      </c>
      <c r="D6" s="223" t="s">
        <v>180</v>
      </c>
      <c r="E6" s="266" t="s">
        <v>181</v>
      </c>
      <c r="F6" s="247" t="s">
        <v>314</v>
      </c>
      <c r="G6" s="266" t="s">
        <v>315</v>
      </c>
      <c r="H6" s="223" t="s">
        <v>316</v>
      </c>
      <c r="I6" s="266" t="s">
        <v>182</v>
      </c>
      <c r="J6" s="243" t="s">
        <v>317</v>
      </c>
      <c r="K6" s="267" t="s">
        <v>183</v>
      </c>
      <c r="L6" s="75"/>
      <c r="M6" s="75"/>
      <c r="N6" s="23"/>
      <c r="P6" s="23"/>
      <c r="Q6" s="23"/>
      <c r="R6" s="23"/>
    </row>
    <row r="7" spans="1:222" ht="17.649999999999999" customHeight="1" x14ac:dyDescent="0.3">
      <c r="A7" s="122" t="s">
        <v>4</v>
      </c>
      <c r="B7" s="124">
        <f>PAGE_11!H7</f>
        <v>549</v>
      </c>
      <c r="C7" s="124"/>
      <c r="D7" s="124">
        <f>PAGE_11!N7</f>
        <v>0</v>
      </c>
      <c r="E7" s="124"/>
      <c r="F7" s="124">
        <f>PAGE_12!H7</f>
        <v>2024</v>
      </c>
      <c r="G7" s="124"/>
      <c r="H7" s="124">
        <f>PAGE_13!B7+PAGE_13!D7+PAGE_13!F7+PAGE_13!H7+PAGE_13!J7+PAGE_13!L7+PAGE_13!N7+PAGE_13!P7+PAGE_14!B7+PAGE_14!D7+PAGE_14!F7+PAGE_14!H7+PAGE_14!L7+PAGE_14!P7+PAGE_14!S7+PAGE_14!X7+PAGE_15!B7+PAGE_15!D7+PAGE_15!F7</f>
        <v>259544.40285714285</v>
      </c>
      <c r="I7" s="124">
        <f>PAGE_13!C7+PAGE_13!E7+PAGE_13!G7+PAGE_13!I7+PAGE_13!K7+PAGE_13!M7+PAGE_13!O7+PAGE_13!Q7+PAGE_14!C7+PAGE_14!E7+PAGE_14!G7+PAGE_14!J7+PAGE_14!N7+PAGE_14!Q7+PAGE_14!U7+PAGE_14!Z7+PAGE_15!C7+PAGE_15!E7+PAGE_15!G7</f>
        <v>0</v>
      </c>
      <c r="J7" s="125">
        <f>PAGE_12!J7</f>
        <v>40830</v>
      </c>
      <c r="K7" s="124">
        <f t="shared" ref="K7:K38" si="0">H7+J7</f>
        <v>300374.40285714285</v>
      </c>
      <c r="L7" s="21"/>
      <c r="M7" s="21"/>
      <c r="N7" s="22"/>
      <c r="O7" s="22"/>
      <c r="P7" s="22"/>
      <c r="Q7" s="22"/>
      <c r="R7" s="2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</row>
    <row r="8" spans="1:222" ht="17.649999999999999" customHeight="1" x14ac:dyDescent="0.3">
      <c r="A8" s="122" t="s">
        <v>5</v>
      </c>
      <c r="B8" s="124">
        <f>PAGE_11!H8</f>
        <v>493</v>
      </c>
      <c r="C8" s="124"/>
      <c r="D8" s="124">
        <f>PAGE_11!N8</f>
        <v>0</v>
      </c>
      <c r="E8" s="124"/>
      <c r="F8" s="124">
        <f>PAGE_12!H8</f>
        <v>2594</v>
      </c>
      <c r="G8" s="124"/>
      <c r="H8" s="124">
        <f>PAGE_13!B8+PAGE_13!D8+PAGE_13!F8+PAGE_13!H8+PAGE_13!J8+PAGE_13!L8+PAGE_13!N8+PAGE_13!P8+PAGE_14!B8+PAGE_14!D8+PAGE_14!F8+PAGE_14!H8+PAGE_14!L8+PAGE_14!P8+PAGE_14!S8+PAGE_14!X8+PAGE_15!B8+PAGE_15!D8+PAGE_15!F8</f>
        <v>182275.49428571429</v>
      </c>
      <c r="I8" s="124">
        <f>PAGE_13!C8+PAGE_13!E8+PAGE_13!G8+PAGE_13!I8+PAGE_13!K8+PAGE_13!M8+PAGE_13!O8+PAGE_13!Q8+PAGE_14!C8+PAGE_14!E8+PAGE_14!G8+PAGE_14!J8+PAGE_14!N8+PAGE_14!Q8+PAGE_14!U8+PAGE_14!Z8+PAGE_15!C8+PAGE_15!E8+PAGE_15!G8</f>
        <v>0</v>
      </c>
      <c r="J8" s="125">
        <f>PAGE_12!J8</f>
        <v>26009</v>
      </c>
      <c r="K8" s="124">
        <f t="shared" si="0"/>
        <v>208284.49428571429</v>
      </c>
      <c r="L8" s="21"/>
      <c r="M8" s="21"/>
      <c r="N8" s="22"/>
      <c r="O8" s="22"/>
      <c r="P8" s="22"/>
      <c r="Q8" s="22"/>
      <c r="R8" s="22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</row>
    <row r="9" spans="1:222" ht="17.649999999999999" customHeight="1" x14ac:dyDescent="0.3">
      <c r="A9" s="122" t="s">
        <v>6</v>
      </c>
      <c r="B9" s="124">
        <f>PAGE_11!H9</f>
        <v>538</v>
      </c>
      <c r="C9" s="124"/>
      <c r="D9" s="124">
        <f>PAGE_11!N9</f>
        <v>0</v>
      </c>
      <c r="E9" s="124"/>
      <c r="F9" s="124">
        <f>PAGE_12!H9</f>
        <v>2707</v>
      </c>
      <c r="G9" s="124"/>
      <c r="H9" s="124">
        <f>PAGE_13!B9+PAGE_13!D9+PAGE_13!F9+PAGE_13!H9+PAGE_13!J9+PAGE_13!L9+PAGE_13!N9+PAGE_13!P9+PAGE_14!B9+PAGE_14!D9+PAGE_14!F9+PAGE_14!H9+PAGE_14!L9+PAGE_14!P9+PAGE_14!S9+PAGE_14!X9+PAGE_15!B9+PAGE_15!D9+PAGE_15!F9</f>
        <v>248276.2542857143</v>
      </c>
      <c r="I9" s="124">
        <f>PAGE_13!C9+PAGE_13!E9+PAGE_13!G9+PAGE_13!I9+PAGE_13!K9+PAGE_13!M9+PAGE_13!O9+PAGE_13!Q9+PAGE_14!C9+PAGE_14!E9+PAGE_14!G9+PAGE_14!J9+PAGE_14!N9+PAGE_14!Q9+PAGE_14!U9+PAGE_14!Z9+PAGE_15!C9+PAGE_15!E9+PAGE_15!G9</f>
        <v>0</v>
      </c>
      <c r="J9" s="125">
        <f>PAGE_12!J9</f>
        <v>50878</v>
      </c>
      <c r="K9" s="124">
        <f t="shared" si="0"/>
        <v>299154.2542857143</v>
      </c>
      <c r="L9" s="21"/>
      <c r="M9" s="21"/>
      <c r="N9" s="22"/>
      <c r="O9" s="22"/>
      <c r="P9" s="22"/>
      <c r="Q9" s="22"/>
      <c r="R9" s="22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</row>
    <row r="10" spans="1:222" ht="17.649999999999999" customHeight="1" x14ac:dyDescent="0.3">
      <c r="A10" s="122" t="s">
        <v>7</v>
      </c>
      <c r="B10" s="124">
        <f>PAGE_11!H10</f>
        <v>618</v>
      </c>
      <c r="C10" s="124"/>
      <c r="D10" s="124">
        <f>PAGE_11!N10</f>
        <v>0</v>
      </c>
      <c r="E10" s="124"/>
      <c r="F10" s="124">
        <f>PAGE_12!H10</f>
        <v>2068</v>
      </c>
      <c r="G10" s="124"/>
      <c r="H10" s="124">
        <f>PAGE_13!B10+PAGE_13!D10+PAGE_13!F10+PAGE_13!H10+PAGE_13!J10+PAGE_13!L10+PAGE_13!N10+PAGE_13!P10+PAGE_14!B10+PAGE_14!D10+PAGE_14!F10+PAGE_14!H10+PAGE_14!L10+PAGE_14!P10+PAGE_14!S10+PAGE_14!X10+PAGE_15!B10+PAGE_15!D10+PAGE_15!F10</f>
        <v>273952.48476190475</v>
      </c>
      <c r="I10" s="124">
        <f>PAGE_13!C10+PAGE_13!E10+PAGE_13!G10+PAGE_13!I10+PAGE_13!K10+PAGE_13!M10+PAGE_13!O10+PAGE_13!Q10+PAGE_14!C10+PAGE_14!E10+PAGE_14!G10+PAGE_14!J10+PAGE_14!N10+PAGE_14!Q10+PAGE_14!U10+PAGE_14!Z10+PAGE_15!C10+PAGE_15!E10+PAGE_15!G10</f>
        <v>0</v>
      </c>
      <c r="J10" s="125">
        <f>PAGE_12!J10</f>
        <v>48944</v>
      </c>
      <c r="K10" s="124">
        <f t="shared" si="0"/>
        <v>322896.48476190475</v>
      </c>
      <c r="L10" s="21"/>
      <c r="M10" s="21"/>
      <c r="N10" s="22"/>
      <c r="O10" s="22"/>
      <c r="P10" s="22"/>
      <c r="Q10" s="22"/>
      <c r="R10" s="2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</row>
    <row r="11" spans="1:222" ht="17.649999999999999" customHeight="1" x14ac:dyDescent="0.3">
      <c r="A11" s="122" t="s">
        <v>8</v>
      </c>
      <c r="B11" s="124">
        <f>PAGE_11!H11</f>
        <v>645</v>
      </c>
      <c r="C11" s="124"/>
      <c r="D11" s="124">
        <f>PAGE_11!N11</f>
        <v>0</v>
      </c>
      <c r="E11" s="124"/>
      <c r="F11" s="124">
        <f>PAGE_12!H11</f>
        <v>2000</v>
      </c>
      <c r="G11" s="124"/>
      <c r="H11" s="124">
        <f>PAGE_13!B11+PAGE_13!D11+PAGE_13!F11+PAGE_13!H11+PAGE_13!J11+PAGE_13!L11+PAGE_13!N11+PAGE_13!P11+PAGE_14!B11+PAGE_14!D11+PAGE_14!F11+PAGE_14!H11+PAGE_14!L11+PAGE_14!P11+PAGE_14!S11+PAGE_14!X11+PAGE_15!B11+PAGE_15!D11+PAGE_15!F11</f>
        <v>266015.62190476188</v>
      </c>
      <c r="I11" s="124">
        <f>PAGE_13!C11+PAGE_13!E11+PAGE_13!G11+PAGE_13!I11+PAGE_13!K11+PAGE_13!M11+PAGE_13!O11+PAGE_13!Q11+PAGE_14!C11+PAGE_14!E11+PAGE_14!G11+PAGE_14!J11+PAGE_14!N11+PAGE_14!Q11+PAGE_14!U11+PAGE_14!Z11+PAGE_15!C11+PAGE_15!E11+PAGE_15!G11</f>
        <v>0</v>
      </c>
      <c r="J11" s="125">
        <f>PAGE_12!J11</f>
        <v>50622</v>
      </c>
      <c r="K11" s="124">
        <f t="shared" si="0"/>
        <v>316637.62190476188</v>
      </c>
      <c r="L11" s="21"/>
      <c r="M11" s="21"/>
      <c r="N11" s="22"/>
      <c r="O11" s="22"/>
      <c r="P11" s="22"/>
      <c r="Q11" s="22"/>
      <c r="R11" s="2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</row>
    <row r="12" spans="1:222" ht="17.649999999999999" customHeight="1" x14ac:dyDescent="0.3">
      <c r="A12" s="122" t="s">
        <v>9</v>
      </c>
      <c r="B12" s="124">
        <f>PAGE_11!H12</f>
        <v>732</v>
      </c>
      <c r="C12" s="124"/>
      <c r="D12" s="124">
        <f>PAGE_11!N12</f>
        <v>0</v>
      </c>
      <c r="E12" s="124"/>
      <c r="F12" s="124">
        <f>PAGE_12!H12</f>
        <v>3918</v>
      </c>
      <c r="G12" s="124"/>
      <c r="H12" s="124">
        <f>PAGE_13!B12+PAGE_13!D12+PAGE_13!F12+PAGE_13!H12+PAGE_13!J12+PAGE_13!L12+PAGE_13!N12+PAGE_13!P12+PAGE_14!B12+PAGE_14!D12+PAGE_14!F12+PAGE_14!H12+PAGE_14!L12+PAGE_14!P12+PAGE_14!S12+PAGE_14!X12+PAGE_15!B12+PAGE_15!D12+PAGE_15!F12</f>
        <v>234743.41047619047</v>
      </c>
      <c r="I12" s="124">
        <f>PAGE_13!C12+PAGE_13!E12+PAGE_13!G12+PAGE_13!I12+PAGE_13!K12+PAGE_13!M12+PAGE_13!O12+PAGE_13!Q12+PAGE_14!C12+PAGE_14!E12+PAGE_14!G12+PAGE_14!J12+PAGE_14!N12+PAGE_14!Q12+PAGE_14!U12+PAGE_14!Z12+PAGE_15!C12+PAGE_15!E12+PAGE_15!G12</f>
        <v>0</v>
      </c>
      <c r="J12" s="125">
        <f>PAGE_12!J12</f>
        <v>48120</v>
      </c>
      <c r="K12" s="124">
        <f t="shared" si="0"/>
        <v>282863.4104761905</v>
      </c>
      <c r="L12" s="21"/>
      <c r="M12" s="21"/>
      <c r="N12" s="22"/>
      <c r="O12" s="22"/>
      <c r="P12" s="22"/>
      <c r="Q12" s="22"/>
      <c r="R12" s="2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</row>
    <row r="13" spans="1:222" ht="17.649999999999999" customHeight="1" x14ac:dyDescent="0.3">
      <c r="A13" s="122" t="s">
        <v>10</v>
      </c>
      <c r="B13" s="124">
        <f>PAGE_11!H13</f>
        <v>816</v>
      </c>
      <c r="C13" s="124"/>
      <c r="D13" s="124">
        <f>PAGE_11!N13</f>
        <v>0</v>
      </c>
      <c r="E13" s="124"/>
      <c r="F13" s="124">
        <f>PAGE_12!H13</f>
        <v>2141</v>
      </c>
      <c r="G13" s="124"/>
      <c r="H13" s="124">
        <f>PAGE_13!B13+PAGE_13!D13+PAGE_13!F13+PAGE_13!H13+PAGE_13!J13+PAGE_13!L13+PAGE_13!N13+PAGE_13!P13+PAGE_14!B13+PAGE_14!D13+PAGE_14!F13+PAGE_14!H13+PAGE_14!L13+PAGE_14!P13+PAGE_14!S13+PAGE_14!X13+PAGE_15!B13+PAGE_15!D13+PAGE_15!F13</f>
        <v>302789.64761904761</v>
      </c>
      <c r="I13" s="124">
        <f>PAGE_13!C13+PAGE_13!E13+PAGE_13!G13+PAGE_13!I13+PAGE_13!K13+PAGE_13!M13+PAGE_13!O13+PAGE_13!Q13+PAGE_14!C13+PAGE_14!E13+PAGE_14!G13+PAGE_14!J13+PAGE_14!N13+PAGE_14!Q13+PAGE_14!U13+PAGE_14!Z13+PAGE_15!C13+PAGE_15!E13+PAGE_15!G13</f>
        <v>0</v>
      </c>
      <c r="J13" s="125">
        <f>PAGE_12!J13</f>
        <v>43125</v>
      </c>
      <c r="K13" s="124">
        <f t="shared" si="0"/>
        <v>345914.64761904761</v>
      </c>
      <c r="L13" s="21"/>
      <c r="M13" s="21"/>
      <c r="N13" s="22"/>
      <c r="O13" s="22"/>
      <c r="P13" s="22"/>
      <c r="Q13" s="22"/>
      <c r="R13" s="22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</row>
    <row r="14" spans="1:222" ht="17.649999999999999" customHeight="1" x14ac:dyDescent="0.3">
      <c r="A14" s="122" t="s">
        <v>11</v>
      </c>
      <c r="B14" s="124">
        <f>PAGE_11!H14</f>
        <v>792</v>
      </c>
      <c r="C14" s="124"/>
      <c r="D14" s="124">
        <f>PAGE_11!N14</f>
        <v>0</v>
      </c>
      <c r="E14" s="124"/>
      <c r="F14" s="124">
        <f>PAGE_12!H14</f>
        <v>2151</v>
      </c>
      <c r="G14" s="124"/>
      <c r="H14" s="124">
        <f>PAGE_13!B14+PAGE_13!D14+PAGE_13!F14+PAGE_13!H14+PAGE_13!J14+PAGE_13!L14+PAGE_13!N14+PAGE_13!P14+PAGE_14!B14+PAGE_14!D14+PAGE_14!F14+PAGE_14!H14+PAGE_14!L14+PAGE_14!P14+PAGE_14!S14+PAGE_14!X14+PAGE_15!B14+PAGE_15!D14+PAGE_15!F14</f>
        <v>353648.70285714284</v>
      </c>
      <c r="I14" s="124">
        <f>PAGE_13!C14+PAGE_13!E14+PAGE_13!G14+PAGE_13!I14+PAGE_13!K14+PAGE_13!M14+PAGE_13!O14+PAGE_13!Q14+PAGE_14!C14+PAGE_14!E14+PAGE_14!G14+PAGE_14!J14+PAGE_14!N14+PAGE_14!Q14+PAGE_14!U14+PAGE_14!Z14+PAGE_15!C14+PAGE_15!E14+PAGE_15!G14</f>
        <v>0</v>
      </c>
      <c r="J14" s="125">
        <f>PAGE_12!J14</f>
        <v>38091</v>
      </c>
      <c r="K14" s="124">
        <f t="shared" si="0"/>
        <v>391739.70285714284</v>
      </c>
      <c r="L14" s="21"/>
      <c r="M14" s="21"/>
      <c r="N14" s="22"/>
      <c r="O14" s="22"/>
      <c r="P14" s="22"/>
      <c r="Q14" s="22"/>
      <c r="R14" s="2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</row>
    <row r="15" spans="1:222" ht="17.649999999999999" customHeight="1" x14ac:dyDescent="0.3">
      <c r="A15" s="122" t="s">
        <v>12</v>
      </c>
      <c r="B15" s="124">
        <f>PAGE_11!H15</f>
        <v>661</v>
      </c>
      <c r="C15" s="124"/>
      <c r="D15" s="124">
        <f>PAGE_11!N15</f>
        <v>0</v>
      </c>
      <c r="E15" s="124"/>
      <c r="F15" s="124">
        <f>PAGE_12!H15</f>
        <v>1885</v>
      </c>
      <c r="G15" s="124"/>
      <c r="H15" s="124">
        <f>PAGE_13!B15+PAGE_13!D15+PAGE_13!F15+PAGE_13!H15+PAGE_13!J15+PAGE_13!L15+PAGE_13!N15+PAGE_13!P15+PAGE_14!B15+PAGE_14!D15+PAGE_14!F15+PAGE_14!H15+PAGE_14!L15+PAGE_14!P15+PAGE_14!S15+PAGE_14!X15+PAGE_15!B15+PAGE_15!D15+PAGE_15!F15</f>
        <v>405092.3</v>
      </c>
      <c r="I15" s="124">
        <f>PAGE_13!C15+PAGE_13!E15+PAGE_13!G15+PAGE_13!I15+PAGE_13!K15+PAGE_13!M15+PAGE_13!O15+PAGE_13!Q15+PAGE_14!C15+PAGE_14!E15+PAGE_14!G15+PAGE_14!J15+PAGE_14!N15+PAGE_14!Q15+PAGE_14!U15+PAGE_14!Z15+PAGE_15!C15+PAGE_15!E15+PAGE_15!G15</f>
        <v>0</v>
      </c>
      <c r="J15" s="125">
        <f>PAGE_12!J15</f>
        <v>50828</v>
      </c>
      <c r="K15" s="124">
        <f t="shared" si="0"/>
        <v>455920.3</v>
      </c>
      <c r="L15" s="21"/>
      <c r="M15" s="21"/>
      <c r="N15" s="22"/>
      <c r="O15" s="22"/>
      <c r="P15" s="22"/>
      <c r="Q15" s="22"/>
      <c r="R15" s="2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</row>
    <row r="16" spans="1:222" ht="17.649999999999999" customHeight="1" x14ac:dyDescent="0.3">
      <c r="A16" s="122" t="s">
        <v>13</v>
      </c>
      <c r="B16" s="124">
        <f>PAGE_11!H16</f>
        <v>638</v>
      </c>
      <c r="C16" s="124"/>
      <c r="D16" s="124">
        <f>PAGE_11!N16</f>
        <v>0</v>
      </c>
      <c r="E16" s="124"/>
      <c r="F16" s="124">
        <f>PAGE_12!H16</f>
        <v>2471</v>
      </c>
      <c r="G16" s="124"/>
      <c r="H16" s="124">
        <f>PAGE_13!B16+PAGE_13!D16+PAGE_13!F16+PAGE_13!H16+PAGE_13!J16+PAGE_13!L16+PAGE_13!N16+PAGE_13!P16+PAGE_14!B16+PAGE_14!D16+PAGE_14!F16+PAGE_14!H16+PAGE_14!L16+PAGE_14!P16+PAGE_14!S16+PAGE_14!X16+PAGE_15!B16+PAGE_15!D16+PAGE_15!F16</f>
        <v>381342.98285714287</v>
      </c>
      <c r="I16" s="124">
        <f>PAGE_13!C16+PAGE_13!E16+PAGE_13!G16+PAGE_13!I16+PAGE_13!K16+PAGE_13!M16+PAGE_13!O16+PAGE_13!Q16+PAGE_14!C16+PAGE_14!E16+PAGE_14!G16+PAGE_14!J16+PAGE_14!N16+PAGE_14!Q16+PAGE_14!U16+PAGE_14!Z16+PAGE_15!C16+PAGE_15!E16+PAGE_15!G16</f>
        <v>0</v>
      </c>
      <c r="J16" s="125">
        <f>PAGE_12!J16</f>
        <v>56417</v>
      </c>
      <c r="K16" s="124">
        <f t="shared" si="0"/>
        <v>437759.98285714287</v>
      </c>
      <c r="L16" s="21"/>
      <c r="M16" s="21"/>
      <c r="N16" s="22"/>
      <c r="O16" s="22"/>
      <c r="P16" s="22"/>
      <c r="Q16" s="22"/>
      <c r="R16" s="22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</row>
    <row r="17" spans="1:222" ht="17.649999999999999" customHeight="1" x14ac:dyDescent="0.3">
      <c r="A17" s="122" t="s">
        <v>14</v>
      </c>
      <c r="B17" s="124">
        <f>PAGE_11!H17</f>
        <v>337</v>
      </c>
      <c r="C17" s="124"/>
      <c r="D17" s="124">
        <f>PAGE_11!N17</f>
        <v>0</v>
      </c>
      <c r="E17" s="124"/>
      <c r="F17" s="124">
        <f>PAGE_12!H17</f>
        <v>2071</v>
      </c>
      <c r="G17" s="124"/>
      <c r="H17" s="124">
        <f>PAGE_13!B17+PAGE_13!D17+PAGE_13!F17+PAGE_13!H17+PAGE_13!J17+PAGE_13!L17+PAGE_13!N17+PAGE_13!P17+PAGE_14!B17+PAGE_14!D17+PAGE_14!F17+PAGE_14!H17+PAGE_14!L17+PAGE_14!P17+PAGE_14!S17+PAGE_14!X17+PAGE_15!B17+PAGE_15!D17+PAGE_15!F17</f>
        <v>364641.98476190475</v>
      </c>
      <c r="I17" s="124">
        <f>PAGE_13!C17+PAGE_13!E17+PAGE_13!G17+PAGE_13!I17+PAGE_13!K17+PAGE_13!M17+PAGE_13!O17+PAGE_13!Q17+PAGE_14!C17+PAGE_14!E17+PAGE_14!G17+PAGE_14!J17+PAGE_14!N17+PAGE_14!Q17+PAGE_14!U17+PAGE_14!Z17+PAGE_15!C17+PAGE_15!E17+PAGE_15!G17</f>
        <v>0</v>
      </c>
      <c r="J17" s="125">
        <f>PAGE_12!J17</f>
        <v>43350</v>
      </c>
      <c r="K17" s="124">
        <f t="shared" si="0"/>
        <v>407991.98476190475</v>
      </c>
      <c r="L17" s="21"/>
      <c r="M17" s="21"/>
      <c r="N17" s="22"/>
      <c r="O17" s="22"/>
      <c r="P17" s="22"/>
      <c r="Q17" s="22"/>
      <c r="R17" s="22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</row>
    <row r="18" spans="1:222" ht="17.649999999999999" customHeight="1" x14ac:dyDescent="0.3">
      <c r="A18" s="122" t="s">
        <v>15</v>
      </c>
      <c r="B18" s="124">
        <f>PAGE_11!H18</f>
        <v>777</v>
      </c>
      <c r="C18" s="124"/>
      <c r="D18" s="124">
        <f>PAGE_11!N18</f>
        <v>0</v>
      </c>
      <c r="E18" s="124"/>
      <c r="F18" s="124">
        <f>PAGE_12!H18</f>
        <v>2537</v>
      </c>
      <c r="G18" s="124"/>
      <c r="H18" s="124">
        <f>PAGE_13!B18+PAGE_13!D18+PAGE_13!F18+PAGE_13!H18+PAGE_13!J18+PAGE_13!L18+PAGE_13!N18+PAGE_13!P18+PAGE_14!B18+PAGE_14!D18+PAGE_14!F18+PAGE_14!H18+PAGE_14!L18+PAGE_14!P18+PAGE_14!S18+PAGE_14!X18+PAGE_15!B18+PAGE_15!D18+PAGE_15!F18</f>
        <v>322566.12476190476</v>
      </c>
      <c r="I18" s="124">
        <f>PAGE_13!C18+PAGE_13!E18+PAGE_13!G18+PAGE_13!I18+PAGE_13!K18+PAGE_13!M18+PAGE_13!O18+PAGE_13!Q18+PAGE_14!C18+PAGE_14!E18+PAGE_14!G18+PAGE_14!J18+PAGE_14!N18+PAGE_14!Q18+PAGE_14!U18+PAGE_14!Z18+PAGE_15!C18+PAGE_15!E18+PAGE_15!G18</f>
        <v>0</v>
      </c>
      <c r="J18" s="125">
        <f>PAGE_12!J18</f>
        <v>39726</v>
      </c>
      <c r="K18" s="124">
        <f t="shared" si="0"/>
        <v>362292.12476190476</v>
      </c>
      <c r="L18" s="21"/>
      <c r="M18" s="21"/>
      <c r="N18" s="22"/>
      <c r="O18" s="22"/>
      <c r="P18" s="22"/>
      <c r="Q18" s="22"/>
      <c r="R18" s="22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</row>
    <row r="19" spans="1:222" ht="17.649999999999999" customHeight="1" x14ac:dyDescent="0.3">
      <c r="A19" s="122" t="s">
        <v>16</v>
      </c>
      <c r="B19" s="124">
        <f>PAGE_11!H19</f>
        <v>885</v>
      </c>
      <c r="C19" s="124"/>
      <c r="D19" s="124">
        <f>PAGE_11!N19</f>
        <v>0</v>
      </c>
      <c r="E19" s="124"/>
      <c r="F19" s="124">
        <f>PAGE_12!H19</f>
        <v>2164</v>
      </c>
      <c r="G19" s="124"/>
      <c r="H19" s="124">
        <f>PAGE_13!B19+PAGE_13!D19+PAGE_13!F19+PAGE_13!H19+PAGE_13!J19+PAGE_13!L19+PAGE_13!N19+PAGE_13!P19+PAGE_14!B19+PAGE_14!D19+PAGE_14!F19+PAGE_14!H19+PAGE_14!L19+PAGE_14!P19+PAGE_14!S19+PAGE_14!X19+PAGE_15!B19+PAGE_15!D19+PAGE_15!F19</f>
        <v>319524.65428571426</v>
      </c>
      <c r="I19" s="124">
        <f>PAGE_13!C19+PAGE_13!E19+PAGE_13!G19+PAGE_13!I19+PAGE_13!K19+PAGE_13!M19+PAGE_13!O19+PAGE_13!Q19+PAGE_14!C19+PAGE_14!E19+PAGE_14!G19+PAGE_14!J19+PAGE_14!N19+PAGE_14!Q19+PAGE_14!U19+PAGE_14!Z19+PAGE_15!C19+PAGE_15!E19+PAGE_15!G19</f>
        <v>0</v>
      </c>
      <c r="J19" s="125">
        <f>PAGE_12!J19</f>
        <v>46561</v>
      </c>
      <c r="K19" s="124">
        <f t="shared" si="0"/>
        <v>366085.65428571426</v>
      </c>
      <c r="L19" s="21"/>
      <c r="M19" s="21"/>
      <c r="N19" s="21"/>
      <c r="O19" s="21"/>
      <c r="P19" s="21"/>
      <c r="Q19" s="21"/>
      <c r="R19" s="21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</row>
    <row r="20" spans="1:222" ht="17.649999999999999" customHeight="1" x14ac:dyDescent="0.3">
      <c r="A20" s="122" t="s">
        <v>17</v>
      </c>
      <c r="B20" s="124">
        <f>PAGE_11!H20</f>
        <v>688</v>
      </c>
      <c r="C20" s="124"/>
      <c r="D20" s="124">
        <f>PAGE_11!N20</f>
        <v>0</v>
      </c>
      <c r="E20" s="124"/>
      <c r="F20" s="124">
        <f>PAGE_12!H20</f>
        <v>2479</v>
      </c>
      <c r="G20" s="124"/>
      <c r="H20" s="124">
        <f>PAGE_13!B20+PAGE_13!D20+PAGE_13!F20+PAGE_13!H20+PAGE_13!J20+PAGE_13!L20+PAGE_13!N20+PAGE_13!P20+PAGE_14!B20+PAGE_14!D20+PAGE_14!F20+PAGE_14!H20+PAGE_14!L20+PAGE_14!P20+PAGE_14!S20+PAGE_14!X20+PAGE_15!B20+PAGE_15!D20+PAGE_15!F20</f>
        <v>393968.56476190477</v>
      </c>
      <c r="I20" s="124">
        <f>PAGE_13!C20+PAGE_13!E20+PAGE_13!G20+PAGE_13!I20+PAGE_13!K20+PAGE_13!M20+PAGE_13!O20+PAGE_13!Q20+PAGE_14!C20+PAGE_14!E20+PAGE_14!G20+PAGE_14!J20+PAGE_14!N20+PAGE_14!Q20+PAGE_14!U20+PAGE_14!Z20+PAGE_15!C20+PAGE_15!E20+PAGE_15!G20</f>
        <v>0</v>
      </c>
      <c r="J20" s="125">
        <f>PAGE_12!J20</f>
        <v>44178</v>
      </c>
      <c r="K20" s="124">
        <f t="shared" si="0"/>
        <v>438146.56476190477</v>
      </c>
      <c r="L20" s="21"/>
      <c r="M20" s="21"/>
      <c r="N20" s="22"/>
      <c r="O20" s="22"/>
      <c r="P20" s="22"/>
      <c r="Q20" s="22"/>
      <c r="R20" s="22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</row>
    <row r="21" spans="1:222" ht="17.649999999999999" customHeight="1" x14ac:dyDescent="0.3">
      <c r="A21" s="122" t="s">
        <v>18</v>
      </c>
      <c r="B21" s="124">
        <f>PAGE_11!H21</f>
        <v>2992</v>
      </c>
      <c r="C21" s="124"/>
      <c r="D21" s="124">
        <f>PAGE_11!N21</f>
        <v>0</v>
      </c>
      <c r="E21" s="124"/>
      <c r="F21" s="124">
        <f>PAGE_12!H21</f>
        <v>5504</v>
      </c>
      <c r="G21" s="124"/>
      <c r="H21" s="124">
        <f>PAGE_13!B21+PAGE_13!D21+PAGE_13!F21+PAGE_13!H21+PAGE_13!J21+PAGE_13!L21+PAGE_13!N21+PAGE_13!P21+PAGE_14!B21+PAGE_14!D21+PAGE_14!F21+PAGE_14!H21+PAGE_14!L21+PAGE_14!P21+PAGE_14!S21+PAGE_14!X21+PAGE_15!B21+PAGE_15!D21+PAGE_15!F21</f>
        <v>303109.55523809523</v>
      </c>
      <c r="I21" s="124">
        <f>PAGE_13!C21+PAGE_13!E21+PAGE_13!G21+PAGE_13!I21+PAGE_13!K21+PAGE_13!M21+PAGE_13!O21+PAGE_13!Q21+PAGE_14!C21+PAGE_14!E21+PAGE_14!G21+PAGE_14!J21+PAGE_14!N21+PAGE_14!Q21+PAGE_14!U21+PAGE_14!Z21+PAGE_15!C21+PAGE_15!E21+PAGE_15!G21</f>
        <v>0</v>
      </c>
      <c r="J21" s="125">
        <f>PAGE_12!J21</f>
        <v>56037</v>
      </c>
      <c r="K21" s="124">
        <f t="shared" si="0"/>
        <v>359146.55523809523</v>
      </c>
      <c r="L21" s="21"/>
      <c r="M21" s="21"/>
      <c r="N21" s="22"/>
      <c r="O21" s="22"/>
      <c r="P21" s="22"/>
      <c r="Q21" s="22"/>
      <c r="R21" s="22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</row>
    <row r="22" spans="1:222" ht="17.649999999999999" customHeight="1" x14ac:dyDescent="0.3">
      <c r="A22" s="122" t="s">
        <v>19</v>
      </c>
      <c r="B22" s="124">
        <f>PAGE_11!H22</f>
        <v>4165</v>
      </c>
      <c r="C22" s="124"/>
      <c r="D22" s="124">
        <f>PAGE_11!N22</f>
        <v>46</v>
      </c>
      <c r="E22" s="130"/>
      <c r="F22" s="124">
        <f>PAGE_12!H22</f>
        <v>2542</v>
      </c>
      <c r="G22" s="124"/>
      <c r="H22" s="124">
        <f>PAGE_13!B22+PAGE_13!D22+PAGE_13!F22+PAGE_13!H22+PAGE_13!J22+PAGE_13!L22+PAGE_13!N22+PAGE_13!P22+PAGE_14!B22+PAGE_14!D22+PAGE_14!F22+PAGE_14!H22+PAGE_14!L22+PAGE_14!P22+PAGE_14!S22+PAGE_14!X22+PAGE_15!B22+PAGE_15!D22+PAGE_15!F22</f>
        <v>482268.78476190474</v>
      </c>
      <c r="I22" s="124">
        <f>PAGE_13!C22+PAGE_13!E22+PAGE_13!G22+PAGE_13!I22+PAGE_13!K22+PAGE_13!M22+PAGE_13!O22+PAGE_13!Q22+PAGE_14!C22+PAGE_14!E22+PAGE_14!G22+PAGE_14!J22+PAGE_14!N22+PAGE_14!Q22+PAGE_14!U22+PAGE_14!Z22+PAGE_15!C22+PAGE_15!E22+PAGE_15!G22</f>
        <v>0</v>
      </c>
      <c r="J22" s="125">
        <f>PAGE_12!J22</f>
        <v>65769</v>
      </c>
      <c r="K22" s="124">
        <f t="shared" si="0"/>
        <v>548037.78476190474</v>
      </c>
      <c r="L22" s="21"/>
      <c r="M22" s="21"/>
      <c r="N22" s="22"/>
      <c r="O22" s="22"/>
      <c r="P22" s="22"/>
      <c r="Q22" s="22"/>
      <c r="R22" s="22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</row>
    <row r="23" spans="1:222" ht="17.649999999999999" customHeight="1" x14ac:dyDescent="0.3">
      <c r="A23" s="122" t="s">
        <v>20</v>
      </c>
      <c r="B23" s="124">
        <f>PAGE_11!H23</f>
        <v>4349</v>
      </c>
      <c r="C23" s="124"/>
      <c r="D23" s="124">
        <f>PAGE_11!N23</f>
        <v>162</v>
      </c>
      <c r="E23" s="125"/>
      <c r="F23" s="124">
        <f>PAGE_12!H23</f>
        <v>2260</v>
      </c>
      <c r="G23" s="124"/>
      <c r="H23" s="124">
        <f>PAGE_13!B23+PAGE_13!D23+PAGE_13!F23+PAGE_13!H23+PAGE_13!J23+PAGE_13!L23+PAGE_13!N23+PAGE_13!P23+PAGE_14!B23+PAGE_14!D23+PAGE_14!F23+PAGE_14!H23+PAGE_14!L23+PAGE_14!P23+PAGE_14!S23+PAGE_14!X23+PAGE_15!B23+PAGE_15!D23+PAGE_15!F23</f>
        <v>449957.23714285716</v>
      </c>
      <c r="I23" s="124">
        <f>PAGE_13!C23+PAGE_13!E23+PAGE_13!G23+PAGE_13!I23+PAGE_13!K23+PAGE_13!M23+PAGE_13!O23+PAGE_13!Q23+PAGE_14!C23+PAGE_14!E23+PAGE_14!G23+PAGE_14!J23+PAGE_14!N23+PAGE_14!Q23+PAGE_14!U23+PAGE_14!Z23+PAGE_15!C23+PAGE_15!E23+PAGE_15!G23</f>
        <v>0</v>
      </c>
      <c r="J23" s="125">
        <f>PAGE_12!J23</f>
        <v>36388</v>
      </c>
      <c r="K23" s="124">
        <f t="shared" si="0"/>
        <v>486345.23714285716</v>
      </c>
      <c r="L23" s="21"/>
      <c r="M23" s="21"/>
      <c r="N23" s="22"/>
      <c r="O23" s="22"/>
      <c r="P23" s="22"/>
      <c r="Q23" s="22"/>
      <c r="R23" s="22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</row>
    <row r="24" spans="1:222" ht="17.649999999999999" customHeight="1" x14ac:dyDescent="0.3">
      <c r="A24" s="122" t="s">
        <v>21</v>
      </c>
      <c r="B24" s="124">
        <f>PAGE_11!H24</f>
        <v>4008</v>
      </c>
      <c r="C24" s="124"/>
      <c r="D24" s="124">
        <f>PAGE_11!N24</f>
        <v>129</v>
      </c>
      <c r="E24" s="124"/>
      <c r="F24" s="124">
        <f>PAGE_12!H24</f>
        <v>2215</v>
      </c>
      <c r="G24" s="124"/>
      <c r="H24" s="124">
        <f>PAGE_13!B24+PAGE_13!D24+PAGE_13!F24+PAGE_13!H24+PAGE_13!J24+PAGE_13!L24+PAGE_13!N24+PAGE_13!P24+PAGE_14!B24+PAGE_14!D24+PAGE_14!F24+PAGE_14!H24+PAGE_14!L24+PAGE_14!P24+PAGE_14!S24+PAGE_14!X24+PAGE_15!B24+PAGE_15!D24+PAGE_15!F24</f>
        <v>350679.4485714286</v>
      </c>
      <c r="I24" s="124">
        <f>PAGE_13!C24+PAGE_13!E24+PAGE_13!G24+PAGE_13!I24+PAGE_13!K24+PAGE_13!M24+PAGE_13!O24+PAGE_13!Q24+PAGE_14!C24+PAGE_14!E24+PAGE_14!G24+PAGE_14!J24+PAGE_14!N24+PAGE_14!Q24+PAGE_14!U24+PAGE_14!Z24+PAGE_15!C24+PAGE_15!E24+PAGE_15!G24</f>
        <v>0</v>
      </c>
      <c r="J24" s="125">
        <f>PAGE_12!J24</f>
        <v>57384</v>
      </c>
      <c r="K24" s="124">
        <f t="shared" si="0"/>
        <v>408063.4485714286</v>
      </c>
      <c r="L24" s="21"/>
      <c r="M24" s="21"/>
      <c r="N24" s="21"/>
      <c r="O24" s="21"/>
      <c r="P24" s="21"/>
      <c r="Q24" s="21"/>
      <c r="R24" s="2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</row>
    <row r="25" spans="1:222" ht="17.649999999999999" customHeight="1" x14ac:dyDescent="0.3">
      <c r="A25" s="122" t="s">
        <v>22</v>
      </c>
      <c r="B25" s="166">
        <f>PAGE_11!H25</f>
        <v>4719</v>
      </c>
      <c r="C25" s="261"/>
      <c r="D25" s="124">
        <f>PAGE_11!N25</f>
        <v>17</v>
      </c>
      <c r="E25" s="262"/>
      <c r="F25" s="124">
        <f>PAGE_12!H25</f>
        <v>2322</v>
      </c>
      <c r="G25" s="261"/>
      <c r="H25" s="124">
        <f>PAGE_13!B25+PAGE_13!D25+PAGE_13!F25+PAGE_13!H25+PAGE_13!J25+PAGE_13!L25+PAGE_13!N25+PAGE_13!P25+PAGE_14!B25+PAGE_14!D25+PAGE_14!F25+PAGE_14!H25+PAGE_14!L25+PAGE_14!P25+PAGE_14!S25+PAGE_14!X25+PAGE_15!B25+PAGE_15!D25+PAGE_15!F25</f>
        <v>567574.70666666667</v>
      </c>
      <c r="I25" s="124">
        <f>PAGE_13!C25+PAGE_13!E25+PAGE_13!G25+PAGE_13!I25+PAGE_13!K25+PAGE_13!M25+PAGE_13!O25+PAGE_13!Q25+PAGE_14!C25+PAGE_14!E25+PAGE_14!G25+PAGE_14!J25+PAGE_14!N25+PAGE_14!Q25+PAGE_14!U25+PAGE_14!Z25+PAGE_15!C25+PAGE_15!E25+PAGE_15!G25</f>
        <v>0</v>
      </c>
      <c r="J25" s="125">
        <f>PAGE_12!J25</f>
        <v>56185.583932000001</v>
      </c>
      <c r="K25" s="124">
        <f t="shared" si="0"/>
        <v>623760.29059866664</v>
      </c>
      <c r="L25" s="21"/>
      <c r="M25" s="21"/>
      <c r="N25" s="21"/>
      <c r="O25" s="21"/>
      <c r="P25" s="21"/>
      <c r="Q25" s="21"/>
      <c r="R25" s="21"/>
      <c r="S25" s="53"/>
      <c r="T25" s="53"/>
      <c r="U25" s="53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</row>
    <row r="26" spans="1:222" ht="17.649999999999999" customHeight="1" x14ac:dyDescent="0.3">
      <c r="A26" s="122" t="s">
        <v>24</v>
      </c>
      <c r="B26" s="166">
        <f>PAGE_11!H26</f>
        <v>5007</v>
      </c>
      <c r="C26" s="261"/>
      <c r="D26" s="124">
        <f>PAGE_11!N26</f>
        <v>170</v>
      </c>
      <c r="E26" s="261"/>
      <c r="F26" s="124">
        <f>PAGE_12!H26</f>
        <v>2973</v>
      </c>
      <c r="G26" s="261"/>
      <c r="H26" s="124">
        <f>PAGE_13!B26+PAGE_13!D26+PAGE_13!F26+PAGE_13!H26+PAGE_13!J26+PAGE_13!L26+PAGE_13!N26+PAGE_13!P26+PAGE_14!B26+PAGE_14!D26+PAGE_14!F26+PAGE_14!H26+PAGE_14!L26+PAGE_14!P26+PAGE_14!S26+PAGE_14!X26+PAGE_15!B26+PAGE_15!D26+PAGE_15!F26</f>
        <v>432897.53619047621</v>
      </c>
      <c r="I26" s="124">
        <f>PAGE_13!C26+PAGE_13!E26+PAGE_13!G26+PAGE_13!I26+PAGE_13!K26+PAGE_13!M26+PAGE_13!O26+PAGE_13!Q26+PAGE_14!C26+PAGE_14!E26+PAGE_14!G26+PAGE_14!J26+PAGE_14!N26+PAGE_14!Q26+PAGE_14!U26+PAGE_14!Z26+PAGE_15!C26+PAGE_15!E26+PAGE_15!G26</f>
        <v>0</v>
      </c>
      <c r="J26" s="125">
        <f>PAGE_12!J26</f>
        <v>73000.270163000008</v>
      </c>
      <c r="K26" s="124">
        <f t="shared" si="0"/>
        <v>505897.80635347625</v>
      </c>
      <c r="L26" s="21"/>
      <c r="M26" s="21"/>
      <c r="N26" s="22"/>
      <c r="O26" s="22"/>
      <c r="P26" s="22"/>
      <c r="Q26" s="22"/>
      <c r="R26" s="22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</row>
    <row r="27" spans="1:222" ht="17.649999999999999" customHeight="1" x14ac:dyDescent="0.3">
      <c r="A27" s="122" t="s">
        <v>25</v>
      </c>
      <c r="B27" s="263">
        <f>PAGE_11!H27</f>
        <v>4843</v>
      </c>
      <c r="C27" s="264"/>
      <c r="D27" s="124">
        <f>PAGE_11!N27</f>
        <v>214</v>
      </c>
      <c r="E27" s="264"/>
      <c r="F27" s="124">
        <f>PAGE_12!H27</f>
        <v>1777</v>
      </c>
      <c r="G27" s="264"/>
      <c r="H27" s="124">
        <f>PAGE_13!B27+PAGE_13!D27+PAGE_13!F27+PAGE_13!H27+PAGE_13!J27+PAGE_13!L27+PAGE_13!N27+PAGE_13!P27+PAGE_14!B27+PAGE_14!D27+PAGE_14!F27+PAGE_14!H27+PAGE_14!L27+PAGE_14!P27+PAGE_14!S27+PAGE_14!X27+PAGE_15!B27+PAGE_15!D27+PAGE_15!F27</f>
        <v>529559.0219047619</v>
      </c>
      <c r="I27" s="124">
        <f>PAGE_13!C27+PAGE_13!E27+PAGE_13!G27+PAGE_13!I27+PAGE_13!K27+PAGE_13!M27+PAGE_13!O27+PAGE_13!Q27+PAGE_14!C27+PAGE_14!E27+PAGE_14!G27+PAGE_14!J27+PAGE_14!N27+PAGE_14!Q27+PAGE_14!U27+PAGE_14!Z27+PAGE_15!C27+PAGE_15!E27+PAGE_15!G27</f>
        <v>0</v>
      </c>
      <c r="J27" s="125">
        <f>PAGE_12!J27</f>
        <v>63938.283020000003</v>
      </c>
      <c r="K27" s="124">
        <f t="shared" si="0"/>
        <v>593497.30492476188</v>
      </c>
      <c r="L27" s="21"/>
      <c r="M27" s="21"/>
      <c r="N27" s="22"/>
      <c r="O27" s="22"/>
      <c r="P27" s="22"/>
      <c r="Q27" s="22"/>
      <c r="R27" s="2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</row>
    <row r="28" spans="1:222" ht="17.649999999999999" customHeight="1" x14ac:dyDescent="0.3">
      <c r="A28" s="122" t="s">
        <v>101</v>
      </c>
      <c r="B28" s="263">
        <f>PAGE_11!H28</f>
        <v>6836</v>
      </c>
      <c r="C28" s="264"/>
      <c r="D28" s="124">
        <f>PAGE_11!N28</f>
        <v>221</v>
      </c>
      <c r="E28" s="264"/>
      <c r="F28" s="124">
        <f>PAGE_12!H28</f>
        <v>2662</v>
      </c>
      <c r="G28" s="264"/>
      <c r="H28" s="124">
        <f>PAGE_13!B28+PAGE_13!D28+PAGE_13!F28+PAGE_13!H28+PAGE_13!J28+PAGE_13!L28+PAGE_13!N28+PAGE_13!P28+PAGE_14!B28+PAGE_14!D28+PAGE_14!F28+PAGE_14!H28+PAGE_14!L28+PAGE_14!P28+PAGE_14!S28+PAGE_14!X28+PAGE_15!B28+PAGE_15!D28+PAGE_15!F28</f>
        <v>388408.29238095239</v>
      </c>
      <c r="I28" s="124">
        <f>PAGE_13!C28+PAGE_13!E28+PAGE_13!G28+PAGE_13!I28+PAGE_13!K28+PAGE_13!M28+PAGE_13!O28+PAGE_13!Q28+PAGE_14!C28+PAGE_14!E28+PAGE_14!G28+PAGE_14!J28+PAGE_14!N28+PAGE_14!Q28+PAGE_14!U28+PAGE_14!Z28+PAGE_15!C28+PAGE_15!E28+PAGE_15!G28</f>
        <v>0</v>
      </c>
      <c r="J28" s="125">
        <f>PAGE_12!J28</f>
        <v>58103.928896999998</v>
      </c>
      <c r="K28" s="124">
        <f t="shared" si="0"/>
        <v>446512.22127795237</v>
      </c>
      <c r="L28" s="21"/>
      <c r="M28" s="21"/>
      <c r="N28" s="22"/>
      <c r="O28" s="22"/>
      <c r="P28" s="22"/>
      <c r="Q28" s="22"/>
      <c r="R28" s="22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</row>
    <row r="29" spans="1:222" ht="17.649999999999999" customHeight="1" x14ac:dyDescent="0.3">
      <c r="A29" s="122" t="s">
        <v>26</v>
      </c>
      <c r="B29" s="263">
        <f>PAGE_11!H29</f>
        <v>4702</v>
      </c>
      <c r="C29" s="264"/>
      <c r="D29" s="124">
        <f>PAGE_11!N29</f>
        <v>113</v>
      </c>
      <c r="E29" s="264"/>
      <c r="F29" s="124">
        <f>PAGE_12!H29</f>
        <v>2598</v>
      </c>
      <c r="G29" s="264"/>
      <c r="H29" s="124">
        <f>PAGE_13!B29+PAGE_13!D29+PAGE_13!F29+PAGE_13!H29+PAGE_13!J29+PAGE_13!L29+PAGE_13!N29+PAGE_13!P29+PAGE_14!B29+PAGE_14!D29+PAGE_14!F29+PAGE_14!H29+PAGE_14!L29+PAGE_14!P29+PAGE_14!S29+PAGE_14!X29+PAGE_15!B29+PAGE_15!D29+PAGE_15!F29</f>
        <v>364674.64095238096</v>
      </c>
      <c r="I29" s="124">
        <f>PAGE_13!C29+PAGE_13!E29+PAGE_13!G29+PAGE_13!I29+PAGE_13!K29+PAGE_13!M29+PAGE_13!O29+PAGE_13!Q29+PAGE_14!C29+PAGE_14!E29+PAGE_14!G29+PAGE_14!J29+PAGE_14!N29+PAGE_14!Q29+PAGE_14!U29+PAGE_14!Z29+PAGE_15!C29+PAGE_15!E29+PAGE_15!G29</f>
        <v>0</v>
      </c>
      <c r="J29" s="125">
        <f>PAGE_12!J29</f>
        <v>59635.211764</v>
      </c>
      <c r="K29" s="124">
        <f t="shared" si="0"/>
        <v>424309.85271638096</v>
      </c>
      <c r="L29" s="21"/>
      <c r="M29" s="21"/>
      <c r="N29" s="22"/>
      <c r="O29" s="22"/>
      <c r="P29" s="22"/>
      <c r="Q29" s="22"/>
      <c r="R29" s="22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</row>
    <row r="30" spans="1:222" ht="17.649999999999999" customHeight="1" x14ac:dyDescent="0.3">
      <c r="A30" s="122" t="s">
        <v>27</v>
      </c>
      <c r="B30" s="263">
        <f>PAGE_11!H30</f>
        <v>5621</v>
      </c>
      <c r="C30" s="264">
        <f>PAGE_11!I30</f>
        <v>0</v>
      </c>
      <c r="D30" s="124">
        <f>PAGE_11!N30</f>
        <v>155</v>
      </c>
      <c r="E30" s="264">
        <f>PAGE_11!K30</f>
        <v>0</v>
      </c>
      <c r="F30" s="124">
        <f>PAGE_12!H30</f>
        <v>2783</v>
      </c>
      <c r="G30" s="264">
        <f>PAGE_12!I30</f>
        <v>0</v>
      </c>
      <c r="H30" s="124">
        <f>PAGE_13!B30+PAGE_13!D30+PAGE_13!F30+PAGE_13!H30+PAGE_13!J30+PAGE_13!L30+PAGE_13!N30+PAGE_13!P30+PAGE_14!B30+PAGE_14!D30+PAGE_14!F30+PAGE_14!H30+PAGE_14!L30+PAGE_14!P30+PAGE_14!S30+PAGE_14!X30+PAGE_15!B30+PAGE_15!D30+PAGE_15!F30</f>
        <v>439635.23714285716</v>
      </c>
      <c r="I30" s="124">
        <f>PAGE_13!C30+PAGE_13!E30+PAGE_13!G30+PAGE_13!I30+PAGE_13!K30+PAGE_13!M30+PAGE_13!O30+PAGE_13!Q30+PAGE_14!C30+PAGE_14!E30+PAGE_14!G30+PAGE_14!J30+PAGE_14!N30+PAGE_14!Q30+PAGE_14!U30+PAGE_14!Z30+PAGE_15!C30+PAGE_15!E30+PAGE_15!G30</f>
        <v>0</v>
      </c>
      <c r="J30" s="125">
        <f>PAGE_12!J30</f>
        <v>65191.988825</v>
      </c>
      <c r="K30" s="124">
        <f t="shared" si="0"/>
        <v>504827.22596785717</v>
      </c>
      <c r="L30" s="21"/>
      <c r="M30" s="21"/>
      <c r="N30" s="22"/>
      <c r="O30" s="22"/>
      <c r="P30" s="22"/>
      <c r="Q30" s="22"/>
      <c r="R30" s="2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</row>
    <row r="31" spans="1:222" ht="17.649999999999999" customHeight="1" x14ac:dyDescent="0.3">
      <c r="A31" s="122" t="s">
        <v>102</v>
      </c>
      <c r="B31" s="263">
        <f>PAGE_11!H31</f>
        <v>4231</v>
      </c>
      <c r="C31" s="264">
        <f>PAGE_11!I31</f>
        <v>0</v>
      </c>
      <c r="D31" s="124">
        <f>PAGE_11!N31</f>
        <v>185</v>
      </c>
      <c r="E31" s="264">
        <f>PAGE_11!K31</f>
        <v>0</v>
      </c>
      <c r="F31" s="124">
        <f>PAGE_12!H31</f>
        <v>2780</v>
      </c>
      <c r="G31" s="264">
        <f>PAGE_12!I31</f>
        <v>0</v>
      </c>
      <c r="H31" s="124">
        <f>PAGE_13!B31+PAGE_13!D31+PAGE_13!F31+PAGE_13!H31+PAGE_13!J31+PAGE_13!L31+PAGE_13!N31+PAGE_13!P31+PAGE_14!B31+PAGE_14!D31+PAGE_14!F31+PAGE_14!H31+PAGE_14!L31+PAGE_14!P31+PAGE_14!S31+PAGE_14!X31+PAGE_15!B31+PAGE_15!D31+PAGE_15!F31</f>
        <v>379633</v>
      </c>
      <c r="I31" s="124">
        <f>PAGE_13!C31+PAGE_13!E31+PAGE_13!G31+PAGE_13!I31+PAGE_13!K31+PAGE_13!M31+PAGE_13!O31+PAGE_13!Q31+PAGE_14!C31+PAGE_14!E31+PAGE_14!G31+PAGE_14!J31+PAGE_14!N31+PAGE_14!Q31+PAGE_14!U31+PAGE_14!Z31+PAGE_15!C31+PAGE_15!E31+PAGE_15!G31</f>
        <v>0</v>
      </c>
      <c r="J31" s="125">
        <f>PAGE_12!J31</f>
        <v>59759.092008</v>
      </c>
      <c r="K31" s="124">
        <f t="shared" si="0"/>
        <v>439392.09200800001</v>
      </c>
      <c r="L31" s="21"/>
      <c r="M31" s="21"/>
      <c r="O31" s="22"/>
      <c r="P31" s="22"/>
      <c r="Q31" s="22"/>
      <c r="R31" s="22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</row>
    <row r="32" spans="1:222" ht="17.649999999999999" customHeight="1" x14ac:dyDescent="0.3">
      <c r="A32" s="122" t="s">
        <v>103</v>
      </c>
      <c r="B32" s="264">
        <f>PAGE_11!H32</f>
        <v>5563</v>
      </c>
      <c r="C32" s="264">
        <f>PAGE_11!I32</f>
        <v>0</v>
      </c>
      <c r="D32" s="124">
        <f>PAGE_11!N32</f>
        <v>247</v>
      </c>
      <c r="E32" s="264">
        <f>PAGE_11!O32</f>
        <v>0</v>
      </c>
      <c r="F32" s="124">
        <f>PAGE_12!H32</f>
        <v>3082</v>
      </c>
      <c r="G32" s="264">
        <f>PAGE_12!I32</f>
        <v>0</v>
      </c>
      <c r="H32" s="124">
        <f>PAGE_13!B32+PAGE_13!D32+PAGE_13!F32+PAGE_13!H32+PAGE_13!J32+PAGE_13!L32+PAGE_13!N32+PAGE_13!P32+PAGE_14!B32+PAGE_14!D32+PAGE_14!F32+PAGE_14!H32+PAGE_14!L32+PAGE_14!P32+PAGE_14!S32+PAGE_14!X32+PAGE_15!B32+PAGE_15!D32+PAGE_15!F32</f>
        <v>409013</v>
      </c>
      <c r="I32" s="124">
        <f>PAGE_13!C32+PAGE_13!E32+PAGE_13!G32+PAGE_13!I32+PAGE_13!K32+PAGE_13!M32+PAGE_13!O32+PAGE_13!Q32+PAGE_14!C32+PAGE_14!E32+PAGE_14!G32+PAGE_14!J32+PAGE_14!N32+PAGE_14!Q32+PAGE_14!U32+PAGE_14!Z32+PAGE_15!C32+PAGE_15!E32+PAGE_15!G32</f>
        <v>0</v>
      </c>
      <c r="J32" s="125">
        <f>PAGE_12!J32</f>
        <v>59210.690051999998</v>
      </c>
      <c r="K32" s="124">
        <f t="shared" si="0"/>
        <v>468223.69005199999</v>
      </c>
      <c r="L32" s="21"/>
      <c r="M32" s="21"/>
      <c r="N32" s="22"/>
      <c r="O32" s="22"/>
      <c r="P32" s="22"/>
      <c r="Q32" s="22"/>
      <c r="R32" s="2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</row>
    <row r="33" spans="1:222" ht="17.649999999999999" customHeight="1" x14ac:dyDescent="0.3">
      <c r="A33" s="122" t="s">
        <v>104</v>
      </c>
      <c r="B33" s="124">
        <f>PAGE_11!H33</f>
        <v>5036</v>
      </c>
      <c r="C33" s="124">
        <f>PAGE_11!I33</f>
        <v>0</v>
      </c>
      <c r="D33" s="124">
        <f>PAGE_11!N33</f>
        <v>257</v>
      </c>
      <c r="E33" s="124">
        <f>PAGE_11!O33</f>
        <v>0</v>
      </c>
      <c r="F33" s="124">
        <f>PAGE_12!H33</f>
        <v>3162</v>
      </c>
      <c r="G33" s="124">
        <f>PAGE_12!I33</f>
        <v>0</v>
      </c>
      <c r="H33" s="124">
        <f>PAGE_13!B33+PAGE_13!D33+PAGE_13!F33+PAGE_13!H33+PAGE_13!J33+PAGE_13!L33+PAGE_13!N33+PAGE_13!P33+PAGE_14!B33+PAGE_14!D33+PAGE_14!F33+PAGE_14!H33+PAGE_14!L33+PAGE_14!P33+PAGE_14!S33+PAGE_14!X33+PAGE_15!B33+PAGE_15!D33+PAGE_15!F33</f>
        <v>456670</v>
      </c>
      <c r="I33" s="124">
        <f>PAGE_13!C33+PAGE_13!E33+PAGE_13!G33+PAGE_13!I33+PAGE_13!K33+PAGE_13!M33+PAGE_13!O33+PAGE_13!Q33+PAGE_14!C33+PAGE_14!E33+PAGE_14!G33+PAGE_14!J33+PAGE_14!N33+PAGE_14!Q33+PAGE_14!U33+PAGE_14!Z33+PAGE_15!C33+PAGE_15!E33+PAGE_15!G33</f>
        <v>0</v>
      </c>
      <c r="J33" s="125">
        <f>PAGE_12!J33</f>
        <v>53959.670560000006</v>
      </c>
      <c r="K33" s="124">
        <f t="shared" si="0"/>
        <v>510629.67056</v>
      </c>
      <c r="L33" s="21"/>
      <c r="M33" s="21"/>
      <c r="N33" s="22"/>
      <c r="O33" s="22"/>
      <c r="P33" s="22"/>
      <c r="Q33" s="22"/>
      <c r="R33" s="22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</row>
    <row r="34" spans="1:222" ht="17.649999999999999" customHeight="1" x14ac:dyDescent="0.3">
      <c r="A34" s="122" t="s">
        <v>28</v>
      </c>
      <c r="B34" s="124">
        <f>PAGE_11!H34</f>
        <v>2790</v>
      </c>
      <c r="C34" s="124">
        <f>PAGE_11!I34</f>
        <v>0</v>
      </c>
      <c r="D34" s="124">
        <f>PAGE_11!N34</f>
        <v>214</v>
      </c>
      <c r="E34" s="124">
        <f>PAGE_11!O34</f>
        <v>0</v>
      </c>
      <c r="F34" s="124">
        <f>PAGE_12!H34</f>
        <v>2127</v>
      </c>
      <c r="G34" s="124">
        <f>PAGE_12!I34</f>
        <v>0</v>
      </c>
      <c r="H34" s="124">
        <f>PAGE_13!B34+PAGE_13!D34+PAGE_13!F34+PAGE_13!H34+PAGE_13!J34+PAGE_13!L34+PAGE_13!N34+PAGE_13!P34+PAGE_14!B34+PAGE_14!D34+PAGE_14!F34+PAGE_14!H34+PAGE_14!L34+PAGE_14!P34+PAGE_14!S34+PAGE_14!X34+PAGE_15!B34+PAGE_15!D34+PAGE_15!F34</f>
        <v>374156</v>
      </c>
      <c r="I34" s="124">
        <f>PAGE_13!C34+PAGE_13!E34+PAGE_13!G34+PAGE_13!I34+PAGE_13!K34+PAGE_13!M34+PAGE_13!O34+PAGE_13!Q34+PAGE_14!C34+PAGE_14!E34+PAGE_14!G34+PAGE_14!J34+PAGE_14!N34+PAGE_14!Q34+PAGE_14!U34+PAGE_14!Z34+PAGE_15!C34+PAGE_15!E34+PAGE_15!G34</f>
        <v>0</v>
      </c>
      <c r="J34" s="125">
        <f>PAGE_12!J34</f>
        <v>51211.818503999995</v>
      </c>
      <c r="K34" s="124">
        <f t="shared" si="0"/>
        <v>425367.81850399997</v>
      </c>
      <c r="L34" s="21"/>
      <c r="M34" s="21"/>
      <c r="N34" s="22"/>
      <c r="O34" s="22"/>
      <c r="P34" s="22"/>
      <c r="Q34" s="22"/>
      <c r="R34" s="2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</row>
    <row r="35" spans="1:222" ht="17.649999999999999" customHeight="1" x14ac:dyDescent="0.3">
      <c r="A35" s="122" t="s">
        <v>29</v>
      </c>
      <c r="B35" s="124">
        <f>PAGE_11!H35</f>
        <v>4231</v>
      </c>
      <c r="C35" s="124">
        <f>PAGE_11!I35</f>
        <v>0</v>
      </c>
      <c r="D35" s="124">
        <f>PAGE_11!N35</f>
        <v>154</v>
      </c>
      <c r="E35" s="124">
        <f>PAGE_11!O35</f>
        <v>0</v>
      </c>
      <c r="F35" s="124">
        <f>PAGE_12!H35</f>
        <v>1810</v>
      </c>
      <c r="G35" s="124">
        <f>PAGE_12!I35</f>
        <v>0</v>
      </c>
      <c r="H35" s="124">
        <f>PAGE_13!B35+PAGE_13!D35+PAGE_13!F35+PAGE_13!H35+PAGE_13!J35+PAGE_13!L35+PAGE_13!N35+PAGE_13!P35+PAGE_14!B35+PAGE_14!D35+PAGE_14!F35+PAGE_14!H35+PAGE_14!L35+PAGE_14!P35+PAGE_14!S35+PAGE_14!X35+PAGE_15!B35+PAGE_15!D35+PAGE_15!F35</f>
        <v>319707</v>
      </c>
      <c r="I35" s="124">
        <f>PAGE_13!C35+PAGE_13!E35+PAGE_13!G35+PAGE_13!I35+PAGE_13!K35+PAGE_13!M35+PAGE_13!O35+PAGE_13!Q35+PAGE_14!C35+PAGE_14!E35+PAGE_14!G35+PAGE_14!J35+PAGE_14!N35+PAGE_14!Q35+PAGE_14!U35+PAGE_14!Z35+PAGE_15!C35+PAGE_15!E35+PAGE_15!G35</f>
        <v>0</v>
      </c>
      <c r="J35" s="125">
        <f>PAGE_12!J35</f>
        <v>49577.611275000003</v>
      </c>
      <c r="K35" s="124">
        <f t="shared" si="0"/>
        <v>369284.61127500003</v>
      </c>
      <c r="L35" s="21"/>
      <c r="M35" s="21"/>
      <c r="N35" s="22"/>
      <c r="O35" s="22"/>
      <c r="P35" s="22"/>
      <c r="Q35" s="22"/>
      <c r="R35" s="22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</row>
    <row r="36" spans="1:222" ht="17.649999999999999" customHeight="1" x14ac:dyDescent="0.3">
      <c r="A36" s="122" t="s">
        <v>30</v>
      </c>
      <c r="B36" s="124">
        <f>PAGE_11!H36</f>
        <v>6301</v>
      </c>
      <c r="C36" s="124">
        <f>PAGE_11!I36</f>
        <v>0</v>
      </c>
      <c r="D36" s="124">
        <f>PAGE_11!N36</f>
        <v>159</v>
      </c>
      <c r="E36" s="124">
        <f>PAGE_11!O36</f>
        <v>0</v>
      </c>
      <c r="F36" s="124">
        <f>PAGE_12!H36</f>
        <v>2479</v>
      </c>
      <c r="G36" s="124">
        <f>PAGE_12!I36</f>
        <v>0</v>
      </c>
      <c r="H36" s="124">
        <f>PAGE_13!B36+PAGE_13!D36+PAGE_13!F36+PAGE_13!H36+PAGE_13!J36+PAGE_13!L36+PAGE_13!N36+PAGE_13!P36+PAGE_14!B36+PAGE_14!D36+PAGE_14!F36+PAGE_14!H36+PAGE_14!L36+PAGE_14!P36+PAGE_14!S36+PAGE_14!X36+PAGE_15!B36+PAGE_15!D36+PAGE_15!F36</f>
        <v>406220</v>
      </c>
      <c r="I36" s="124">
        <f>PAGE_13!C36+PAGE_13!E36+PAGE_13!G36+PAGE_13!I36+PAGE_13!K36+PAGE_13!M36+PAGE_13!O36+PAGE_13!Q36+PAGE_14!C36+PAGE_14!E36+PAGE_14!G36+PAGE_14!J36+PAGE_14!N36+PAGE_14!Q36+PAGE_14!U36+PAGE_14!Z36+PAGE_15!C36+PAGE_15!E36+PAGE_15!G36</f>
        <v>0</v>
      </c>
      <c r="J36" s="125">
        <f>PAGE_12!J36</f>
        <v>51623.431690000005</v>
      </c>
      <c r="K36" s="124">
        <f t="shared" si="0"/>
        <v>457843.43169</v>
      </c>
      <c r="L36" s="21"/>
      <c r="M36" s="21"/>
      <c r="N36" s="22"/>
      <c r="O36" s="22"/>
      <c r="P36" s="22"/>
      <c r="Q36" s="22"/>
      <c r="R36" s="22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</row>
    <row r="37" spans="1:222" ht="17.649999999999999" customHeight="1" x14ac:dyDescent="0.3">
      <c r="A37" s="122" t="s">
        <v>31</v>
      </c>
      <c r="B37" s="124">
        <f>PAGE_11!H37</f>
        <v>5783</v>
      </c>
      <c r="C37" s="124">
        <f>PAGE_11!I37</f>
        <v>0</v>
      </c>
      <c r="D37" s="124">
        <f>PAGE_11!N37</f>
        <v>149</v>
      </c>
      <c r="E37" s="124">
        <f>PAGE_11!O37</f>
        <v>0</v>
      </c>
      <c r="F37" s="124">
        <f>PAGE_12!H37</f>
        <v>2555</v>
      </c>
      <c r="G37" s="124">
        <f>PAGE_12!I37</f>
        <v>0</v>
      </c>
      <c r="H37" s="124">
        <f>PAGE_13!B37+PAGE_13!D37+PAGE_13!F37+PAGE_13!H37+PAGE_13!J37+PAGE_13!L37+PAGE_13!N37+PAGE_13!P37+PAGE_14!B37+PAGE_14!D37+PAGE_14!F37+PAGE_14!H37+PAGE_14!L37+PAGE_14!P37+PAGE_14!S37+PAGE_14!X37+PAGE_15!B37+PAGE_15!D37+PAGE_15!F37</f>
        <v>388317</v>
      </c>
      <c r="I37" s="124">
        <f>PAGE_13!C37+PAGE_13!E37+PAGE_13!G37+PAGE_13!I37+PAGE_13!K37+PAGE_13!M37+PAGE_13!O37+PAGE_13!Q37+PAGE_14!C37+PAGE_14!E37+PAGE_14!G37+PAGE_14!J37+PAGE_14!N37+PAGE_14!Q37+PAGE_14!U37+PAGE_14!Z37+PAGE_15!C37+PAGE_15!E37+PAGE_15!G37</f>
        <v>0</v>
      </c>
      <c r="J37" s="125">
        <f>PAGE_12!J37</f>
        <v>56525.30745</v>
      </c>
      <c r="K37" s="124">
        <f t="shared" si="0"/>
        <v>444842.30745000002</v>
      </c>
      <c r="L37" s="21"/>
      <c r="M37" s="21"/>
      <c r="N37" s="22"/>
      <c r="O37" s="22"/>
      <c r="P37" s="22"/>
      <c r="Q37" s="22"/>
      <c r="R37" s="2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</row>
    <row r="38" spans="1:222" ht="17.649999999999999" customHeight="1" x14ac:dyDescent="0.3">
      <c r="A38" s="122" t="s">
        <v>32</v>
      </c>
      <c r="B38" s="124">
        <f>PAGE_11!H38</f>
        <v>7910</v>
      </c>
      <c r="C38" s="124">
        <f>PAGE_11!I38</f>
        <v>0</v>
      </c>
      <c r="D38" s="124">
        <f>PAGE_11!N38</f>
        <v>165</v>
      </c>
      <c r="E38" s="124">
        <f>PAGE_11!O38</f>
        <v>0</v>
      </c>
      <c r="F38" s="124">
        <f>PAGE_12!H38</f>
        <v>1396</v>
      </c>
      <c r="G38" s="124">
        <f>PAGE_12!I38</f>
        <v>0</v>
      </c>
      <c r="H38" s="124">
        <f>PAGE_13!B38+PAGE_13!D38+PAGE_13!F38+PAGE_13!H38+PAGE_13!J38+PAGE_13!L38+PAGE_13!N38+PAGE_13!P38+PAGE_14!B38+PAGE_14!D38+PAGE_14!F38+PAGE_14!H38+PAGE_14!L38+PAGE_14!P38+PAGE_14!S38+PAGE_14!X38+PAGE_15!B38+PAGE_15!D38+PAGE_15!F38</f>
        <v>476643</v>
      </c>
      <c r="I38" s="124">
        <f>PAGE_13!C38+PAGE_13!E38+PAGE_13!G38+PAGE_13!I38+PAGE_13!K38+PAGE_13!M38+PAGE_13!O38+PAGE_13!Q38+PAGE_14!C38+PAGE_14!E38+PAGE_14!G38+PAGE_14!J38+PAGE_14!N38+PAGE_14!Q38+PAGE_14!U38+PAGE_14!Z38+PAGE_15!C38+PAGE_15!E38+PAGE_15!G38</f>
        <v>0</v>
      </c>
      <c r="J38" s="125">
        <f>PAGE_12!J38</f>
        <v>60302.607905999997</v>
      </c>
      <c r="K38" s="124">
        <f t="shared" si="0"/>
        <v>536945.60790599999</v>
      </c>
      <c r="L38" s="21"/>
      <c r="M38" s="21"/>
      <c r="N38" s="22"/>
      <c r="O38" s="22"/>
      <c r="P38" s="22"/>
      <c r="Q38" s="22"/>
      <c r="R38" s="2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ht="17.649999999999999" customHeight="1" x14ac:dyDescent="0.3">
      <c r="A39" s="122" t="s">
        <v>33</v>
      </c>
      <c r="B39" s="124">
        <f>PAGE_11!H39</f>
        <v>6332</v>
      </c>
      <c r="C39" s="124">
        <f>PAGE_11!I39</f>
        <v>0</v>
      </c>
      <c r="D39" s="124">
        <f>PAGE_11!N39</f>
        <v>188</v>
      </c>
      <c r="E39" s="124">
        <f>PAGE_11!O39</f>
        <v>0</v>
      </c>
      <c r="F39" s="124">
        <f>PAGE_12!H39</f>
        <v>928</v>
      </c>
      <c r="G39" s="124">
        <f>PAGE_12!I39</f>
        <v>0</v>
      </c>
      <c r="H39" s="124">
        <f>PAGE_13!B39+PAGE_13!D39+PAGE_13!F39+PAGE_13!H39+PAGE_13!J39+PAGE_13!L39+PAGE_13!N39+PAGE_13!P39+PAGE_14!B39+PAGE_14!D39+PAGE_14!F39+PAGE_14!H39+PAGE_14!L39+PAGE_14!P39+PAGE_14!S39+PAGE_14!X39+PAGE_15!B39+PAGE_15!D39+PAGE_15!F39</f>
        <v>404889</v>
      </c>
      <c r="I39" s="124">
        <f>PAGE_13!C39+PAGE_13!E39+PAGE_13!G39+PAGE_13!I39+PAGE_13!K39+PAGE_13!M39+PAGE_13!O39+PAGE_13!Q39+PAGE_14!C39+PAGE_14!E39+PAGE_14!G39+PAGE_14!J39+PAGE_14!N39+PAGE_14!Q39+PAGE_14!U39+PAGE_14!Z39+PAGE_15!C39+PAGE_15!E39+PAGE_15!G39</f>
        <v>0</v>
      </c>
      <c r="J39" s="125">
        <f>PAGE_12!J39</f>
        <v>56231.628617999995</v>
      </c>
      <c r="K39" s="124">
        <f t="shared" ref="K39:K56" si="1">H39+J39</f>
        <v>461120.62861800002</v>
      </c>
      <c r="L39" s="21"/>
      <c r="M39" s="21"/>
      <c r="N39" s="22"/>
      <c r="O39" s="22"/>
      <c r="P39" s="22"/>
      <c r="Q39" s="22"/>
      <c r="R39" s="22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</row>
    <row r="40" spans="1:222" ht="17.649999999999999" customHeight="1" x14ac:dyDescent="0.3">
      <c r="A40" s="122" t="s">
        <v>34</v>
      </c>
      <c r="B40" s="124">
        <f>PAGE_11!H40</f>
        <v>2893</v>
      </c>
      <c r="C40" s="124">
        <f>PAGE_11!I40</f>
        <v>0</v>
      </c>
      <c r="D40" s="124">
        <f>PAGE_11!N40</f>
        <v>118</v>
      </c>
      <c r="E40" s="124">
        <f>PAGE_11!O40</f>
        <v>0</v>
      </c>
      <c r="F40" s="124">
        <f>PAGE_12!H40</f>
        <v>739</v>
      </c>
      <c r="G40" s="124">
        <f>PAGE_12!I40</f>
        <v>0</v>
      </c>
      <c r="H40" s="124">
        <f>PAGE_13!B40+PAGE_13!D40+PAGE_13!F40+PAGE_13!H40+PAGE_13!J40+PAGE_13!L40+PAGE_13!N40+PAGE_13!P40+PAGE_14!B40+PAGE_14!D40+PAGE_14!F40+PAGE_14!H40+PAGE_14!L40+PAGE_14!P40+PAGE_14!S40+PAGE_14!X40+PAGE_15!B40+PAGE_15!D40+PAGE_15!F40</f>
        <v>294964</v>
      </c>
      <c r="I40" s="124">
        <f>PAGE_13!C40+PAGE_13!E40+PAGE_13!G40+PAGE_13!I40+PAGE_13!K40+PAGE_13!M40+PAGE_13!O40+PAGE_13!Q40+PAGE_14!C40+PAGE_14!E40+PAGE_14!G40+PAGE_14!J40+PAGE_14!N40+PAGE_14!Q40+PAGE_14!U40+PAGE_14!Z40+PAGE_15!C40+PAGE_15!E40+PAGE_15!G40</f>
        <v>0</v>
      </c>
      <c r="J40" s="125">
        <f>PAGE_12!J40</f>
        <v>36075.020280000004</v>
      </c>
      <c r="K40" s="124">
        <f t="shared" si="1"/>
        <v>331039.02028</v>
      </c>
      <c r="L40" s="21"/>
      <c r="M40" s="21"/>
      <c r="N40" s="22"/>
      <c r="O40" s="22"/>
      <c r="P40" s="22"/>
      <c r="Q40" s="22"/>
      <c r="R40" s="22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</row>
    <row r="41" spans="1:222" ht="17.649999999999999" customHeight="1" x14ac:dyDescent="0.3">
      <c r="A41" s="122" t="s">
        <v>35</v>
      </c>
      <c r="B41" s="124">
        <f>PAGE_11!H41</f>
        <v>190</v>
      </c>
      <c r="C41" s="124">
        <f>PAGE_11!I41</f>
        <v>0</v>
      </c>
      <c r="D41" s="124">
        <f>PAGE_11!N41</f>
        <v>42</v>
      </c>
      <c r="E41" s="124">
        <f>PAGE_11!O41</f>
        <v>0</v>
      </c>
      <c r="F41" s="124">
        <f>PAGE_12!H41</f>
        <v>847</v>
      </c>
      <c r="G41" s="124">
        <f>PAGE_12!I41</f>
        <v>0</v>
      </c>
      <c r="H41" s="124">
        <f>PAGE_13!B41+PAGE_13!D41+PAGE_13!F41+PAGE_13!H41+PAGE_13!J41+PAGE_13!L41+PAGE_13!N41+PAGE_13!P41+PAGE_14!B41+PAGE_14!D41+PAGE_14!F41+PAGE_14!H41+PAGE_14!L41+PAGE_14!P41+PAGE_14!S41+PAGE_14!X41+PAGE_15!B41+PAGE_15!D41+PAGE_15!F41</f>
        <v>163181</v>
      </c>
      <c r="I41" s="124">
        <f>PAGE_13!C41+PAGE_13!E41+PAGE_13!G41+PAGE_13!I41+PAGE_13!K41+PAGE_13!M41+PAGE_13!O41+PAGE_13!Q41+PAGE_14!C41+PAGE_14!E41+PAGE_14!G41+PAGE_14!J41+PAGE_14!N41+PAGE_14!Q41+PAGE_14!U41+PAGE_14!Z41+PAGE_15!C41+PAGE_15!E41+PAGE_15!G41</f>
        <v>0</v>
      </c>
      <c r="J41" s="125">
        <f>PAGE_12!J41</f>
        <v>32544.898827000001</v>
      </c>
      <c r="K41" s="124">
        <f t="shared" si="1"/>
        <v>195725.898827</v>
      </c>
      <c r="L41" s="12"/>
      <c r="M41" s="8"/>
      <c r="N41" s="14"/>
      <c r="O41" s="14"/>
      <c r="P41" s="14"/>
      <c r="Q41" s="14"/>
      <c r="R41" s="14"/>
    </row>
    <row r="42" spans="1:222" ht="17.649999999999999" customHeight="1" x14ac:dyDescent="0.3">
      <c r="A42" s="122" t="s">
        <v>36</v>
      </c>
      <c r="B42" s="124">
        <f>PAGE_11!H42</f>
        <v>3945</v>
      </c>
      <c r="C42" s="124">
        <f>PAGE_11!I42</f>
        <v>0</v>
      </c>
      <c r="D42" s="124">
        <f>PAGE_11!N42</f>
        <v>157</v>
      </c>
      <c r="E42" s="124">
        <f>PAGE_11!O42</f>
        <v>0</v>
      </c>
      <c r="F42" s="124">
        <f>PAGE_12!H42</f>
        <v>532</v>
      </c>
      <c r="G42" s="124">
        <f>PAGE_12!I42</f>
        <v>0</v>
      </c>
      <c r="H42" s="124">
        <f>PAGE_13!B42+PAGE_13!D42+PAGE_13!F42+PAGE_13!H42+PAGE_13!J42+PAGE_13!L42+PAGE_13!N42+PAGE_13!P42+PAGE_14!B42+PAGE_14!D42+PAGE_14!F42+PAGE_14!H42+PAGE_14!L42+PAGE_14!P42+PAGE_14!S42+PAGE_14!X42+PAGE_15!B42+PAGE_15!D42+PAGE_15!F42</f>
        <v>313519</v>
      </c>
      <c r="I42" s="124">
        <f>PAGE_13!C42+PAGE_13!E42+PAGE_13!G42+PAGE_13!I42+PAGE_13!K42+PAGE_13!M42+PAGE_13!O42+PAGE_13!Q42+PAGE_14!C42+PAGE_14!E42+PAGE_14!G42+PAGE_14!J42+PAGE_14!N42+PAGE_14!Q42+PAGE_14!U42+PAGE_14!Z42+PAGE_15!C42+PAGE_15!E42+PAGE_15!G42</f>
        <v>0</v>
      </c>
      <c r="J42" s="125">
        <f>PAGE_12!J42</f>
        <v>42446.976503999998</v>
      </c>
      <c r="K42" s="124">
        <f t="shared" si="1"/>
        <v>355965.97650400002</v>
      </c>
      <c r="L42" s="8"/>
      <c r="M42" s="8"/>
      <c r="N42" s="14"/>
      <c r="O42" s="14"/>
      <c r="P42" s="14"/>
      <c r="Q42" s="14"/>
      <c r="R42" s="14"/>
    </row>
    <row r="43" spans="1:222" ht="17.649999999999999" customHeight="1" x14ac:dyDescent="0.3">
      <c r="A43" s="122" t="s">
        <v>37</v>
      </c>
      <c r="B43" s="124">
        <f>PAGE_11!H43</f>
        <v>8013</v>
      </c>
      <c r="C43" s="124">
        <f>PAGE_11!I43</f>
        <v>0</v>
      </c>
      <c r="D43" s="124">
        <f>PAGE_11!N43</f>
        <v>180</v>
      </c>
      <c r="E43" s="124">
        <f>PAGE_11!O43</f>
        <v>0</v>
      </c>
      <c r="F43" s="124">
        <f>PAGE_12!H43</f>
        <v>1512</v>
      </c>
      <c r="G43" s="124">
        <f>PAGE_12!I43</f>
        <v>0</v>
      </c>
      <c r="H43" s="124">
        <f>PAGE_13!B43+PAGE_13!D43+PAGE_13!F43+PAGE_13!H43+PAGE_13!J43+PAGE_13!L43+PAGE_13!N43+PAGE_13!P43+PAGE_14!B43+PAGE_14!D43+PAGE_14!F43+PAGE_14!H43+PAGE_14!L43+PAGE_14!P43+PAGE_14!S43+PAGE_14!X43+PAGE_15!B43+PAGE_15!D43+PAGE_15!F43</f>
        <v>357360</v>
      </c>
      <c r="I43" s="124">
        <f>PAGE_13!C43+PAGE_13!E43+PAGE_13!G43+PAGE_13!I43+PAGE_13!K43+PAGE_13!M43+PAGE_13!O43+PAGE_13!Q43+PAGE_14!C43+PAGE_14!E43+PAGE_14!G43+PAGE_14!J43+PAGE_14!N43+PAGE_14!Q43+PAGE_14!U43+PAGE_14!Z43+PAGE_15!C43+PAGE_15!E43+PAGE_15!G43</f>
        <v>0</v>
      </c>
      <c r="J43" s="125">
        <f>PAGE_12!J43</f>
        <v>52197.296472000002</v>
      </c>
      <c r="K43" s="124">
        <f t="shared" si="1"/>
        <v>409557.29647200002</v>
      </c>
      <c r="L43" s="8"/>
      <c r="M43" s="8"/>
      <c r="N43" s="14"/>
      <c r="O43" s="14"/>
      <c r="P43" s="14"/>
      <c r="Q43" s="14"/>
      <c r="R43" s="14"/>
    </row>
    <row r="44" spans="1:222" ht="17.649999999999999" customHeight="1" x14ac:dyDescent="0.3">
      <c r="A44" s="122" t="s">
        <v>38</v>
      </c>
      <c r="B44" s="124">
        <f>PAGE_11!H44</f>
        <v>7520</v>
      </c>
      <c r="C44" s="124">
        <f>PAGE_11!I44</f>
        <v>0</v>
      </c>
      <c r="D44" s="124">
        <f>PAGE_11!N44</f>
        <v>187</v>
      </c>
      <c r="E44" s="124">
        <f>PAGE_11!O44</f>
        <v>0</v>
      </c>
      <c r="F44" s="124">
        <f>PAGE_12!H44</f>
        <v>1925</v>
      </c>
      <c r="G44" s="124">
        <f>PAGE_12!I44</f>
        <v>0</v>
      </c>
      <c r="H44" s="124">
        <f>PAGE_13!B44+PAGE_13!D44+PAGE_13!F44+PAGE_13!H44+PAGE_13!J44+PAGE_13!L44+PAGE_13!N44+PAGE_13!P44+PAGE_14!B44+PAGE_14!D44+PAGE_14!F44+PAGE_14!H44+PAGE_14!L44+PAGE_14!P44+PAGE_14!S44+PAGE_14!X44+PAGE_15!B44+PAGE_15!D44+PAGE_15!F44</f>
        <v>416049</v>
      </c>
      <c r="I44" s="124">
        <f>PAGE_13!C44+PAGE_13!E44+PAGE_13!G44+PAGE_13!I44+PAGE_13!K44+PAGE_13!M44+PAGE_13!O44+PAGE_13!Q44+PAGE_14!C44+PAGE_14!E44+PAGE_14!G44+PAGE_14!J44+PAGE_14!N44+PAGE_14!Q44+PAGE_14!U44+PAGE_14!Z44+PAGE_15!C44+PAGE_15!E44+PAGE_15!G44</f>
        <v>0</v>
      </c>
      <c r="J44" s="125">
        <f>PAGE_12!J44</f>
        <v>50772.683299999997</v>
      </c>
      <c r="K44" s="124">
        <f t="shared" si="1"/>
        <v>466821.68329999998</v>
      </c>
      <c r="L44" s="8"/>
      <c r="M44" s="8"/>
      <c r="N44" s="14"/>
      <c r="O44" s="14"/>
      <c r="P44" s="14"/>
      <c r="Q44" s="14"/>
      <c r="R44" s="14"/>
    </row>
    <row r="45" spans="1:222" ht="17.649999999999999" customHeight="1" x14ac:dyDescent="0.3">
      <c r="A45" s="122" t="s">
        <v>39</v>
      </c>
      <c r="B45" s="124">
        <f>PAGE_11!H45</f>
        <v>7120</v>
      </c>
      <c r="C45" s="124">
        <f>PAGE_11!I45</f>
        <v>0</v>
      </c>
      <c r="D45" s="124">
        <f>PAGE_11!N45</f>
        <v>142</v>
      </c>
      <c r="E45" s="124">
        <f>PAGE_11!O45</f>
        <v>0</v>
      </c>
      <c r="F45" s="124">
        <f>PAGE_12!H45</f>
        <v>1931</v>
      </c>
      <c r="G45" s="124">
        <f>PAGE_12!I45</f>
        <v>0</v>
      </c>
      <c r="H45" s="124">
        <f>PAGE_13!B45+PAGE_13!D45+PAGE_13!F45+PAGE_13!H45+PAGE_13!J45+PAGE_13!L45+PAGE_13!N45+PAGE_13!P45+PAGE_14!B45+PAGE_14!D45+PAGE_14!F45+PAGE_14!H45+PAGE_14!L45+PAGE_14!P45+PAGE_14!S45+PAGE_14!X45+PAGE_15!B45+PAGE_15!D45+PAGE_15!F45</f>
        <v>384720</v>
      </c>
      <c r="I45" s="124">
        <f>PAGE_13!C45+PAGE_13!E45+PAGE_13!G45+PAGE_13!I45+PAGE_13!K45+PAGE_13!M45+PAGE_13!O45+PAGE_13!Q45+PAGE_14!C45+PAGE_14!E45+PAGE_14!G45+PAGE_14!J45+PAGE_14!N45+PAGE_14!Q45+PAGE_14!U45+PAGE_14!Z45+PAGE_15!C45+PAGE_15!E45+PAGE_15!G45</f>
        <v>0</v>
      </c>
      <c r="J45" s="125">
        <f>PAGE_12!J45</f>
        <v>53109.987202999997</v>
      </c>
      <c r="K45" s="124">
        <f t="shared" si="1"/>
        <v>437829.987203</v>
      </c>
      <c r="L45" s="8"/>
      <c r="M45" s="8"/>
      <c r="N45" s="14"/>
      <c r="O45" s="14"/>
      <c r="P45" s="14"/>
      <c r="Q45" s="14"/>
      <c r="R45" s="14"/>
    </row>
    <row r="46" spans="1:222" ht="17.649999999999999" customHeight="1" x14ac:dyDescent="0.3">
      <c r="A46" s="122" t="s">
        <v>40</v>
      </c>
      <c r="B46" s="124">
        <f>PAGE_11!H46</f>
        <v>7196</v>
      </c>
      <c r="C46" s="124">
        <f>PAGE_11!I46</f>
        <v>0</v>
      </c>
      <c r="D46" s="124">
        <f>PAGE_11!N46</f>
        <v>208</v>
      </c>
      <c r="E46" s="124">
        <f>PAGE_11!O46</f>
        <v>0</v>
      </c>
      <c r="F46" s="124">
        <f>PAGE_12!H46</f>
        <v>885</v>
      </c>
      <c r="G46" s="124">
        <f>PAGE_12!I46</f>
        <v>0</v>
      </c>
      <c r="H46" s="124">
        <f>PAGE_13!B46+PAGE_13!D46+PAGE_13!F46+PAGE_13!H46+PAGE_13!J46+PAGE_13!L46+PAGE_13!N46+PAGE_13!P46+PAGE_14!B46+PAGE_14!D46+PAGE_14!F46+PAGE_14!H46+PAGE_14!L46+PAGE_14!P46+PAGE_14!S46+PAGE_14!X46+PAGE_15!B46+PAGE_15!D46+PAGE_15!F46</f>
        <v>362010</v>
      </c>
      <c r="I46" s="124">
        <f>PAGE_13!C46+PAGE_13!E46+PAGE_13!G46+PAGE_13!I46+PAGE_13!K46+PAGE_13!M46+PAGE_13!O46+PAGE_13!Q46+PAGE_14!C46+PAGE_14!E46+PAGE_14!G46+PAGE_14!J46+PAGE_14!N46+PAGE_14!Q46+PAGE_14!U46+PAGE_14!Z46+PAGE_15!C46+PAGE_15!E46+PAGE_15!G46</f>
        <v>0</v>
      </c>
      <c r="J46" s="125">
        <f>PAGE_12!J46</f>
        <v>53022.622492000002</v>
      </c>
      <c r="K46" s="124">
        <f t="shared" si="1"/>
        <v>415032.62249199999</v>
      </c>
      <c r="L46" s="8"/>
      <c r="M46" s="8"/>
      <c r="N46" s="14"/>
      <c r="O46" s="14"/>
      <c r="P46" s="14"/>
      <c r="Q46" s="14"/>
      <c r="R46" s="14"/>
    </row>
    <row r="47" spans="1:222" ht="17.649999999999999" customHeight="1" x14ac:dyDescent="0.3">
      <c r="A47" s="122" t="s">
        <v>41</v>
      </c>
      <c r="B47" s="124">
        <f>PAGE_11!H47</f>
        <v>4246</v>
      </c>
      <c r="C47" s="124">
        <f>PAGE_11!I47</f>
        <v>0</v>
      </c>
      <c r="D47" s="124">
        <f>PAGE_11!N47</f>
        <v>177</v>
      </c>
      <c r="E47" s="124">
        <f>PAGE_11!O47</f>
        <v>0</v>
      </c>
      <c r="F47" s="124">
        <f>PAGE_12!H47</f>
        <v>665</v>
      </c>
      <c r="G47" s="124">
        <f>PAGE_12!I47</f>
        <v>0</v>
      </c>
      <c r="H47" s="124">
        <f>PAGE_13!B47+PAGE_13!D47+PAGE_13!F47+PAGE_13!H47+PAGE_13!J47+PAGE_13!L47+PAGE_13!N47+PAGE_13!P47+PAGE_14!B47+PAGE_14!D47+PAGE_14!F47+PAGE_14!H47+PAGE_14!L47+PAGE_14!P47+PAGE_14!S47+PAGE_14!X47+PAGE_15!B47+PAGE_15!D47+PAGE_15!F47</f>
        <v>262840</v>
      </c>
      <c r="I47" s="124">
        <f>PAGE_13!C47+PAGE_13!E47+PAGE_13!G47+PAGE_13!I47+PAGE_13!K47+PAGE_13!M47+PAGE_13!O47+PAGE_13!Q47+PAGE_14!C47+PAGE_14!E47+PAGE_14!G47+PAGE_14!J47+PAGE_14!N47+PAGE_14!Q47+PAGE_14!U47+PAGE_14!Z47+PAGE_15!C47+PAGE_15!E47+PAGE_15!G47</f>
        <v>0</v>
      </c>
      <c r="J47" s="125">
        <f>PAGE_12!J47</f>
        <v>40922.428950000001</v>
      </c>
      <c r="K47" s="124">
        <f t="shared" si="1"/>
        <v>303762.42894999997</v>
      </c>
      <c r="L47" s="8"/>
      <c r="M47" s="8"/>
      <c r="N47" s="14"/>
      <c r="O47" s="14"/>
      <c r="P47" s="14"/>
      <c r="Q47" s="14"/>
      <c r="R47" s="14"/>
    </row>
    <row r="48" spans="1:222" ht="17.649999999999999" customHeight="1" x14ac:dyDescent="0.3">
      <c r="A48" s="122" t="s">
        <v>42</v>
      </c>
      <c r="B48" s="124">
        <f>PAGE_11!H48</f>
        <v>5461.4285714285716</v>
      </c>
      <c r="C48" s="124">
        <f>PAGE_11!I48</f>
        <v>0</v>
      </c>
      <c r="D48" s="124">
        <f>PAGE_11!N48</f>
        <v>156.14285714285714</v>
      </c>
      <c r="E48" s="124">
        <f>PAGE_11!O48</f>
        <v>0</v>
      </c>
      <c r="F48" s="124">
        <f>PAGE_12!H48</f>
        <v>1185.2857142857142</v>
      </c>
      <c r="G48" s="124">
        <f>PAGE_12!I48</f>
        <v>0</v>
      </c>
      <c r="H48" s="124">
        <f>PAGE_13!B48+PAGE_13!D48+PAGE_13!F48+PAGE_13!H48+PAGE_13!J48+PAGE_13!L48+PAGE_13!N48+PAGE_13!P48+PAGE_14!B48+PAGE_14!D48+PAGE_14!F48+PAGE_14!H48+PAGE_14!L48+PAGE_14!P48+PAGE_14!S48+PAGE_14!X48+PAGE_15!B48+PAGE_15!D48+PAGE_15!F48</f>
        <v>317899.71428571438</v>
      </c>
      <c r="I48" s="124">
        <f>PAGE_13!C48+PAGE_13!E48+PAGE_13!G48+PAGE_13!I48+PAGE_13!K48+PAGE_13!M48+PAGE_13!O48+PAGE_13!Q48+PAGE_14!C48+PAGE_14!E48+PAGE_14!G48+PAGE_14!J48+PAGE_14!N48+PAGE_14!Q48+PAGE_14!U48+PAGE_14!Z48+PAGE_15!C48+PAGE_15!E48+PAGE_15!G48</f>
        <v>0</v>
      </c>
      <c r="J48" s="125">
        <f>PAGE_12!J48</f>
        <v>46430.984821142862</v>
      </c>
      <c r="K48" s="124">
        <f t="shared" si="1"/>
        <v>364330.69910685724</v>
      </c>
      <c r="L48" s="8"/>
      <c r="M48" s="8"/>
      <c r="N48" s="14"/>
      <c r="O48" s="14"/>
      <c r="P48" s="14"/>
      <c r="Q48" s="14"/>
      <c r="R48" s="14"/>
    </row>
    <row r="49" spans="1:18" ht="17.649999999999999" customHeight="1" x14ac:dyDescent="0.3">
      <c r="A49" s="122" t="s">
        <v>43</v>
      </c>
      <c r="B49" s="124">
        <f>PAGE_11!H49</f>
        <v>5461.4285714285716</v>
      </c>
      <c r="C49" s="124">
        <f>PAGE_11!I49</f>
        <v>5334.7047510000002</v>
      </c>
      <c r="D49" s="124">
        <f>PAGE_11!N49</f>
        <v>156.14285714285714</v>
      </c>
      <c r="E49" s="124">
        <f>PAGE_11!O49</f>
        <v>152.51980900000001</v>
      </c>
      <c r="F49" s="124">
        <f>PAGE_12!H49</f>
        <v>1185.2857142857142</v>
      </c>
      <c r="G49" s="124">
        <f>PAGE_12!I49</f>
        <v>1157.783032</v>
      </c>
      <c r="H49" s="124">
        <f>PAGE_13!B49+PAGE_13!D49+PAGE_13!F49+PAGE_13!H49+PAGE_13!J49+PAGE_13!L49+PAGE_13!N49+PAGE_13!P49+PAGE_14!B49+PAGE_14!D49+PAGE_14!F49+PAGE_14!H49+PAGE_14!L49+PAGE_14!P49+PAGE_14!S49+PAGE_14!X49+PAGE_15!B49+PAGE_15!D49+PAGE_15!F49</f>
        <v>317899.71428571438</v>
      </c>
      <c r="I49" s="124">
        <f>PAGE_13!C49+PAGE_13!E49+PAGE_13!G49+PAGE_13!I49+PAGE_13!K49+PAGE_13!M49+PAGE_13!O49+PAGE_13!Q49+PAGE_14!C49+PAGE_14!E49+PAGE_14!G49+PAGE_14!J49+PAGE_14!N49+PAGE_14!Q49+PAGE_14!U49+PAGE_14!Z49+PAGE_15!C49+PAGE_15!E49+PAGE_15!G49</f>
        <v>310522.45787499996</v>
      </c>
      <c r="J49" s="125">
        <f>PAGE_12!J49</f>
        <v>46430.984821142862</v>
      </c>
      <c r="K49" s="124">
        <f t="shared" si="1"/>
        <v>364330.69910685724</v>
      </c>
      <c r="L49" s="8"/>
      <c r="M49" s="8"/>
      <c r="N49" s="14"/>
      <c r="O49" s="14"/>
      <c r="P49" s="14"/>
      <c r="Q49" s="14"/>
      <c r="R49" s="14"/>
    </row>
    <row r="50" spans="1:18" ht="17.649999999999999" customHeight="1" x14ac:dyDescent="0.3">
      <c r="A50" s="122" t="s">
        <v>44</v>
      </c>
      <c r="B50" s="124">
        <f>PAGE_11!H50</f>
        <v>5461.4285714285716</v>
      </c>
      <c r="C50" s="124">
        <f>PAGE_11!I50</f>
        <v>5210.9213559999998</v>
      </c>
      <c r="D50" s="124">
        <f>PAGE_11!N50</f>
        <v>156.14285714285714</v>
      </c>
      <c r="E50" s="124">
        <f>PAGE_11!O50</f>
        <v>148.980828</v>
      </c>
      <c r="F50" s="124">
        <f>PAGE_12!H50</f>
        <v>1185.2857142857142</v>
      </c>
      <c r="G50" s="124">
        <f>PAGE_12!I50</f>
        <v>1130.918506</v>
      </c>
      <c r="H50" s="124">
        <f>PAGE_13!B50+PAGE_13!D50+PAGE_13!F50+PAGE_13!H50+PAGE_13!J50+PAGE_13!L50+PAGE_13!N50+PAGE_13!P50+PAGE_14!B50+PAGE_14!D50+PAGE_14!F50+PAGE_14!H50+PAGE_14!L50+PAGE_14!P50+PAGE_14!S50+PAGE_14!X50+PAGE_15!B50+PAGE_15!D50+PAGE_15!F50</f>
        <v>317899.71428571438</v>
      </c>
      <c r="I50" s="124">
        <f>PAGE_13!C50+PAGE_13!E50+PAGE_13!G50+PAGE_13!I50+PAGE_13!K50+PAGE_13!M50+PAGE_13!O50+PAGE_13!Q50+PAGE_14!C50+PAGE_14!E50+PAGE_14!G50+PAGE_14!J50+PAGE_14!N50+PAGE_14!Q50+PAGE_14!U50+PAGE_14!Z50+PAGE_15!C50+PAGE_15!E50+PAGE_15!G50</f>
        <v>303317.61301500007</v>
      </c>
      <c r="J50" s="125">
        <f>PAGE_12!J50</f>
        <v>46430.984821142862</v>
      </c>
      <c r="K50" s="124">
        <f t="shared" si="1"/>
        <v>364330.69910685724</v>
      </c>
      <c r="L50" s="8"/>
      <c r="M50" s="8"/>
      <c r="N50" s="14"/>
      <c r="O50" s="14"/>
      <c r="P50" s="14"/>
      <c r="Q50" s="14"/>
      <c r="R50" s="14"/>
    </row>
    <row r="51" spans="1:18" ht="17.649999999999999" customHeight="1" x14ac:dyDescent="0.3">
      <c r="A51" s="122" t="s">
        <v>45</v>
      </c>
      <c r="B51" s="124">
        <f>PAGE_11!H51</f>
        <v>5461.4285714285716</v>
      </c>
      <c r="C51" s="124">
        <f>PAGE_11!I51</f>
        <v>5090.0101590000004</v>
      </c>
      <c r="D51" s="124">
        <f>PAGE_11!N51</f>
        <v>156.14285714285714</v>
      </c>
      <c r="E51" s="124">
        <f>PAGE_11!O51</f>
        <v>145.52396299999998</v>
      </c>
      <c r="F51" s="124">
        <f>PAGE_12!H51</f>
        <v>1186.2857142857142</v>
      </c>
      <c r="G51" s="124">
        <f>PAGE_12!I51</f>
        <v>1105.6093209999999</v>
      </c>
      <c r="H51" s="124">
        <f>PAGE_13!B51+PAGE_13!D51+PAGE_13!F51+PAGE_13!H51+PAGE_13!J51+PAGE_13!L51+PAGE_13!N51+PAGE_13!P51+PAGE_14!B51+PAGE_14!D51+PAGE_14!F51+PAGE_14!H51+PAGE_14!L51+PAGE_14!P51+PAGE_14!S51+PAGE_14!X51+PAGE_15!B51+PAGE_15!D51+PAGE_15!F51</f>
        <v>331768.71428571438</v>
      </c>
      <c r="I51" s="124">
        <f>PAGE_13!C51+PAGE_13!E51+PAGE_13!G51+PAGE_13!I51+PAGE_13!K51+PAGE_13!M51+PAGE_13!O51+PAGE_13!Q51+PAGE_14!C51+PAGE_14!E51+PAGE_14!G51+PAGE_14!J51+PAGE_14!N51+PAGE_14!Q51+PAGE_14!U51+PAGE_14!Z51+PAGE_15!C51+PAGE_15!E51+PAGE_15!G51</f>
        <v>309206.16830959468</v>
      </c>
      <c r="J51" s="125">
        <f>PAGE_12!J51</f>
        <v>46430.984821142862</v>
      </c>
      <c r="K51" s="124">
        <f t="shared" si="1"/>
        <v>378199.69910685724</v>
      </c>
      <c r="L51" s="8"/>
      <c r="M51" s="8"/>
      <c r="N51" s="14"/>
      <c r="O51" s="14"/>
      <c r="P51" s="14"/>
      <c r="Q51" s="14"/>
      <c r="R51" s="14"/>
    </row>
    <row r="52" spans="1:18" ht="17.649999999999999" customHeight="1" x14ac:dyDescent="0.3">
      <c r="A52" s="122" t="s">
        <v>46</v>
      </c>
      <c r="B52" s="124">
        <f>PAGE_11!H52</f>
        <v>5461.4285714285716</v>
      </c>
      <c r="C52" s="124">
        <f>PAGE_11!I52</f>
        <v>4971.9045159999996</v>
      </c>
      <c r="D52" s="124">
        <f>PAGE_11!N52</f>
        <v>156.14285714285714</v>
      </c>
      <c r="E52" s="124">
        <f>PAGE_11!O52</f>
        <v>142.14730900000001</v>
      </c>
      <c r="F52" s="124">
        <f>PAGE_12!H52</f>
        <v>1186.2857142857142</v>
      </c>
      <c r="G52" s="124">
        <f>PAGE_12!I52</f>
        <v>1079.955404</v>
      </c>
      <c r="H52" s="124">
        <f>PAGE_13!B52+PAGE_13!D52+PAGE_13!F52+PAGE_13!H52+PAGE_13!J52+PAGE_13!L52+PAGE_13!N52+PAGE_13!P52+PAGE_14!B52+PAGE_14!D52+PAGE_14!F52+PAGE_14!H52+PAGE_14!L52+PAGE_14!P52+PAGE_14!S52+PAGE_14!X52+PAGE_15!B52+PAGE_15!D52+PAGE_15!F52</f>
        <v>331768.71428571438</v>
      </c>
      <c r="I52" s="124">
        <f>PAGE_13!C52+PAGE_13!E52+PAGE_13!G52+PAGE_13!I52+PAGE_13!K52+PAGE_13!M52+PAGE_13!O52+PAGE_13!Q52+PAGE_14!C52+PAGE_14!E52+PAGE_14!G52+PAGE_14!J52+PAGE_14!N52+PAGE_14!Q52+PAGE_14!U52+PAGE_14!Z52+PAGE_15!C52+PAGE_15!E52+PAGE_15!G52</f>
        <v>302030.72889525653</v>
      </c>
      <c r="J52" s="125">
        <f>PAGE_12!J52</f>
        <v>46430.984821142862</v>
      </c>
      <c r="K52" s="124">
        <f t="shared" si="1"/>
        <v>378199.69910685724</v>
      </c>
      <c r="L52" s="8"/>
      <c r="M52" s="8"/>
      <c r="N52" s="14"/>
      <c r="O52" s="14"/>
      <c r="P52" s="14"/>
      <c r="Q52" s="14"/>
      <c r="R52" s="14"/>
    </row>
    <row r="53" spans="1:18" ht="17.649999999999999" customHeight="1" x14ac:dyDescent="0.3">
      <c r="A53" s="122" t="s">
        <v>47</v>
      </c>
      <c r="B53" s="124">
        <f>PAGE_11!H53</f>
        <v>5461.4285714285716</v>
      </c>
      <c r="C53" s="124">
        <f>PAGE_11!I53</f>
        <v>4856.5393279999998</v>
      </c>
      <c r="D53" s="124">
        <f>PAGE_11!N53</f>
        <v>156.14285714285714</v>
      </c>
      <c r="E53" s="124">
        <f>PAGE_11!O53</f>
        <v>138.849006</v>
      </c>
      <c r="F53" s="124">
        <f>PAGE_12!H53</f>
        <v>1186.2857142857142</v>
      </c>
      <c r="G53" s="124">
        <f>PAGE_12!I53</f>
        <v>1054.896745</v>
      </c>
      <c r="H53" s="124">
        <f>PAGE_13!B53+PAGE_13!D53+PAGE_13!F53+PAGE_13!H53+PAGE_13!J53+PAGE_13!L53+PAGE_13!N53+PAGE_13!P53+PAGE_14!B53+PAGE_14!D53+PAGE_14!F53+PAGE_14!H53+PAGE_14!L53+PAGE_14!P53+PAGE_14!S53+PAGE_14!X53+PAGE_15!B53+PAGE_15!D53+PAGE_15!F53</f>
        <v>331768.71428571438</v>
      </c>
      <c r="I53" s="124">
        <f>PAGE_13!C53+PAGE_13!E53+PAGE_13!G53+PAGE_13!I53+PAGE_13!K53+PAGE_13!M53+PAGE_13!O53+PAGE_13!Q53+PAGE_14!C53+PAGE_14!E53+PAGE_14!G53+PAGE_14!J53+PAGE_14!N53+PAGE_14!Q53+PAGE_14!U53+PAGE_14!Z53+PAGE_15!C53+PAGE_15!E53+PAGE_15!G53</f>
        <v>295022.20413650834</v>
      </c>
      <c r="J53" s="125">
        <f>PAGE_12!J53</f>
        <v>46430.984821142862</v>
      </c>
      <c r="K53" s="124">
        <f t="shared" si="1"/>
        <v>378199.69910685724</v>
      </c>
      <c r="L53" s="8"/>
      <c r="M53" s="8"/>
      <c r="N53" s="14"/>
      <c r="O53" s="14"/>
      <c r="P53" s="14"/>
      <c r="Q53" s="14"/>
      <c r="R53" s="14"/>
    </row>
    <row r="54" spans="1:18" ht="17.649999999999999" customHeight="1" x14ac:dyDescent="0.3">
      <c r="A54" s="122" t="s">
        <v>48</v>
      </c>
      <c r="B54" s="124">
        <f>PAGE_11!H54</f>
        <v>5461.4285714285716</v>
      </c>
      <c r="C54" s="124">
        <f>PAGE_11!I54</f>
        <v>4743.8510070000002</v>
      </c>
      <c r="D54" s="124">
        <f>PAGE_11!N54</f>
        <v>156.14285714285714</v>
      </c>
      <c r="E54" s="124">
        <f>PAGE_11!O54</f>
        <v>135.62723399999999</v>
      </c>
      <c r="F54" s="124">
        <f>PAGE_12!H54</f>
        <v>1186.2857142857142</v>
      </c>
      <c r="G54" s="124">
        <f>PAGE_12!I54</f>
        <v>1030.419533</v>
      </c>
      <c r="H54" s="124">
        <f>PAGE_13!B54+PAGE_13!D54+PAGE_13!F54+PAGE_13!H54+PAGE_13!J54+PAGE_13!L54+PAGE_13!N54+PAGE_13!P54+PAGE_14!B54+PAGE_14!D54+PAGE_14!F54+PAGE_14!H54+PAGE_14!L54+PAGE_14!P54+PAGE_14!S54+PAGE_14!X54+PAGE_15!B54+PAGE_15!D54+PAGE_15!F54</f>
        <v>331768.71428571438</v>
      </c>
      <c r="I54" s="124">
        <f>PAGE_13!C54+PAGE_13!E54+PAGE_13!G54+PAGE_13!I54+PAGE_13!K54+PAGE_13!M54+PAGE_13!O54+PAGE_13!Q54+PAGE_14!C54+PAGE_14!E54+PAGE_14!G54+PAGE_14!J54+PAGE_14!N54+PAGE_14!Q54+PAGE_14!U54+PAGE_14!Z54+PAGE_15!C54+PAGE_15!E54+PAGE_15!G54</f>
        <v>288177.74423888209</v>
      </c>
      <c r="J54" s="125">
        <f>PAGE_12!J54</f>
        <v>46430.984821142862</v>
      </c>
      <c r="K54" s="124">
        <f t="shared" si="1"/>
        <v>378199.69910685724</v>
      </c>
      <c r="L54" s="8"/>
      <c r="M54" s="8"/>
      <c r="N54" s="14"/>
      <c r="O54" s="14"/>
      <c r="P54" s="14"/>
      <c r="Q54" s="14"/>
      <c r="R54" s="14"/>
    </row>
    <row r="55" spans="1:18" ht="17.649999999999999" customHeight="1" x14ac:dyDescent="0.3">
      <c r="A55" s="122" t="s">
        <v>49</v>
      </c>
      <c r="B55" s="124">
        <f>PAGE_11!H55</f>
        <v>5461.4285714285716</v>
      </c>
      <c r="C55" s="124">
        <f>PAGE_11!I55</f>
        <v>4633.7774390000004</v>
      </c>
      <c r="D55" s="124">
        <f>PAGE_11!N55</f>
        <v>156.14285714285714</v>
      </c>
      <c r="E55" s="124">
        <f>PAGE_11!O55</f>
        <v>132.48021800000001</v>
      </c>
      <c r="F55" s="124">
        <f>PAGE_12!H55</f>
        <v>1186.2857142857142</v>
      </c>
      <c r="G55" s="124">
        <f>PAGE_12!I55</f>
        <v>1006.510276</v>
      </c>
      <c r="H55" s="124">
        <f>PAGE_13!B55+PAGE_13!D55+PAGE_13!F55+PAGE_13!H55+PAGE_13!J55+PAGE_13!L55+PAGE_13!N55+PAGE_13!P55+PAGE_14!B55+PAGE_14!D55+PAGE_14!F55+PAGE_14!H55+PAGE_14!L55+PAGE_14!P55+PAGE_14!S55+PAGE_14!X55+PAGE_15!B55+PAGE_15!D55+PAGE_15!F55</f>
        <v>331768.71428571438</v>
      </c>
      <c r="I55" s="124">
        <f>PAGE_13!C55+PAGE_13!E55+PAGE_13!G55+PAGE_13!I55+PAGE_13!K55+PAGE_13!M55+PAGE_13!O55+PAGE_13!Q55+PAGE_14!C55+PAGE_14!E55+PAGE_14!G55+PAGE_14!J55+PAGE_14!N55+PAGE_14!Q55+PAGE_14!U55+PAGE_14!Z55+PAGE_15!C55+PAGE_15!E55+PAGE_15!G55</f>
        <v>281491.58873370691</v>
      </c>
      <c r="J55" s="125">
        <f>PAGE_12!J55</f>
        <v>46430.984821142862</v>
      </c>
      <c r="K55" s="124">
        <f t="shared" si="1"/>
        <v>378199.69910685724</v>
      </c>
      <c r="L55" s="8"/>
      <c r="M55" s="8"/>
      <c r="N55" s="14"/>
      <c r="O55" s="14"/>
      <c r="P55" s="14"/>
      <c r="Q55" s="14"/>
      <c r="R55" s="14"/>
    </row>
    <row r="56" spans="1:18" ht="17.649999999999999" customHeight="1" thickBot="1" x14ac:dyDescent="0.35">
      <c r="A56" s="122" t="s">
        <v>50</v>
      </c>
      <c r="B56" s="124">
        <f>PAGE_11!H56</f>
        <v>5461.4285714285716</v>
      </c>
      <c r="C56" s="124">
        <f>PAGE_11!I56</f>
        <v>4526.257955</v>
      </c>
      <c r="D56" s="124">
        <f>PAGE_11!N56</f>
        <v>156.14285714285714</v>
      </c>
      <c r="E56" s="124">
        <f>PAGE_11!O56</f>
        <v>129.40622400000001</v>
      </c>
      <c r="F56" s="124">
        <f>PAGE_12!H56</f>
        <v>1186.2857142857142</v>
      </c>
      <c r="G56" s="124">
        <f>PAGE_12!I56</f>
        <v>983.15579600000001</v>
      </c>
      <c r="H56" s="124">
        <f>PAGE_13!B56+PAGE_13!D56+PAGE_13!F56+PAGE_13!H56+PAGE_13!J56+PAGE_13!L56+PAGE_13!N56+PAGE_13!P56+PAGE_14!B56+PAGE_14!D56+PAGE_14!F56+PAGE_14!H56+PAGE_14!L56+PAGE_14!P56+PAGE_14!S56+PAGE_14!X56+PAGE_15!B56+PAGE_15!D56+PAGE_15!F56</f>
        <v>331768.71428571438</v>
      </c>
      <c r="I56" s="124">
        <f>PAGE_13!C56+PAGE_13!E56+PAGE_13!G56+PAGE_13!I56+PAGE_13!K56+PAGE_13!M56+PAGE_13!O56+PAGE_13!Q56+PAGE_14!C56+PAGE_14!E56+PAGE_14!G56+PAGE_14!J56+PAGE_14!N56+PAGE_14!Q56+PAGE_14!U56+PAGE_14!Z56+PAGE_15!C56+PAGE_15!E56+PAGE_15!G56</f>
        <v>274959.06443376717</v>
      </c>
      <c r="J56" s="125">
        <f>PAGE_12!J56</f>
        <v>46430.984821142862</v>
      </c>
      <c r="K56" s="124">
        <f t="shared" si="1"/>
        <v>378199.69910685724</v>
      </c>
      <c r="L56" s="8"/>
      <c r="M56" s="8"/>
      <c r="N56" s="14"/>
      <c r="O56" s="14"/>
      <c r="P56" s="14"/>
      <c r="Q56" s="14"/>
      <c r="R56" s="14"/>
    </row>
    <row r="57" spans="1:18" ht="17.649999999999999" customHeight="1" x14ac:dyDescent="0.3">
      <c r="A57" s="122" t="s">
        <v>51</v>
      </c>
      <c r="B57" s="265">
        <f t="shared" ref="B57:K57" si="2">SUM(B7:B56)</f>
        <v>194863.85714285722</v>
      </c>
      <c r="C57" s="265">
        <f t="shared" si="2"/>
        <v>39367.966510999999</v>
      </c>
      <c r="D57" s="265">
        <f t="shared" si="2"/>
        <v>5561.2857142857119</v>
      </c>
      <c r="E57" s="265">
        <f t="shared" si="2"/>
        <v>1125.5345909999999</v>
      </c>
      <c r="F57" s="265">
        <f t="shared" si="2"/>
        <v>100874.57142857139</v>
      </c>
      <c r="G57" s="265">
        <f t="shared" si="2"/>
        <v>8549.2486129999998</v>
      </c>
      <c r="H57" s="265">
        <f t="shared" si="2"/>
        <v>17731349.52</v>
      </c>
      <c r="I57" s="265">
        <f t="shared" si="2"/>
        <v>2364727.5696377158</v>
      </c>
      <c r="J57" s="265">
        <f t="shared" si="2"/>
        <v>2496684.902082284</v>
      </c>
      <c r="K57" s="265">
        <f t="shared" si="2"/>
        <v>20228034.42208229</v>
      </c>
      <c r="L57" s="8"/>
      <c r="M57" s="8"/>
      <c r="N57" s="14"/>
      <c r="O57" s="14"/>
      <c r="P57" s="14"/>
      <c r="Q57" s="14"/>
      <c r="R57" s="14"/>
    </row>
    <row r="58" spans="1:18" ht="17.649999999999999" customHeight="1" x14ac:dyDescent="0.3">
      <c r="A58" s="122" t="s">
        <v>72</v>
      </c>
      <c r="B58" s="124">
        <f>PAGE_11!H58</f>
        <v>5461.4285714285716</v>
      </c>
      <c r="C58" s="124"/>
      <c r="D58" s="124">
        <f>PAGE_11!N58</f>
        <v>156.14285714285714</v>
      </c>
      <c r="E58" s="124"/>
      <c r="F58" s="124">
        <f>PAGE_12!H58</f>
        <v>1186.2857142857142</v>
      </c>
      <c r="G58" s="124">
        <f>PAGE_12!I58</f>
        <v>0</v>
      </c>
      <c r="H58" s="124">
        <f>PAGE_13!B58+PAGE_13!D58+PAGE_13!F58+PAGE_13!H58+PAGE_13!J58+PAGE_13!L58+PAGE_13!N58+PAGE_13!P58+PAGE_14!B58+PAGE_14!D58+PAGE_14!F58+PAGE_14!H58+PAGE_14!L58+PAGE_14!P58+PAGE_14!S58+PAGE_14!X58+PAGE_15!B58+PAGE_15!D58+PAGE_15!F58</f>
        <v>331768.71428571438</v>
      </c>
      <c r="I58" s="124"/>
      <c r="J58" s="125">
        <f>PAGE_12!J58</f>
        <v>46430.984821142862</v>
      </c>
      <c r="K58" s="124">
        <f>H58+J58</f>
        <v>378199.69910685724</v>
      </c>
      <c r="L58" s="8"/>
      <c r="M58" s="8"/>
      <c r="N58" s="14"/>
      <c r="O58" s="14"/>
      <c r="P58" s="14"/>
      <c r="Q58" s="14"/>
      <c r="R58" s="14"/>
    </row>
    <row r="59" spans="1:18" ht="17.649999999999999" customHeight="1" x14ac:dyDescent="0.3">
      <c r="A59" s="122" t="s">
        <v>53</v>
      </c>
      <c r="B59" s="124">
        <f>PAGE_11!H59</f>
        <v>43691.428571428572</v>
      </c>
      <c r="C59" s="124">
        <f>PAGE_11!I59</f>
        <v>39367.966510999999</v>
      </c>
      <c r="D59" s="124">
        <f>PAGE_11!N59</f>
        <v>1249.1428571428571</v>
      </c>
      <c r="E59" s="124">
        <f>PAGE_11!O59</f>
        <v>1125.5345909999999</v>
      </c>
      <c r="F59" s="124">
        <f>PAGE_12!H59</f>
        <v>9488.2857142857119</v>
      </c>
      <c r="G59" s="124">
        <f>PAGE_12!I59</f>
        <v>8549.2486129999998</v>
      </c>
      <c r="H59" s="124">
        <f>PAGE_13!B59+PAGE_13!D59+PAGE_13!F59+PAGE_13!H59+PAGE_13!J59+PAGE_13!L59+PAGE_13!N59+PAGE_13!P59+PAGE_14!B59+PAGE_14!D59+PAGE_14!F59+PAGE_14!H59+PAGE_14!L59+PAGE_14!P59+PAGE_14!S59+PAGE_14!X59+PAGE_15!B59+PAGE_15!D59+PAGE_15!F59</f>
        <v>2626411.714285715</v>
      </c>
      <c r="I59" s="124">
        <f>PAGE_13!C59+PAGE_13!E59+PAGE_13!G59+PAGE_13!I59+PAGE_13!K59+PAGE_13!M59+PAGE_13!O59+PAGE_13!Q59+PAGE_14!C59+PAGE_14!E59+PAGE_14!G59+PAGE_14!J59+PAGE_14!N59+PAGE_14!Q59+PAGE_14!U59+PAGE_14!Z59+PAGE_15!C59+PAGE_15!E59+PAGE_15!G59</f>
        <v>2364727.5696377158</v>
      </c>
      <c r="J59" s="125">
        <f>PAGE_12!J59</f>
        <v>371447.87856914289</v>
      </c>
      <c r="K59" s="124">
        <f>H59+J59</f>
        <v>2997859.5928548579</v>
      </c>
      <c r="L59" s="8"/>
      <c r="M59" s="8"/>
      <c r="N59" s="14"/>
      <c r="O59" s="14"/>
      <c r="P59" s="14"/>
      <c r="Q59" s="14"/>
      <c r="R59" s="14"/>
    </row>
    <row r="60" spans="1:18" ht="24.95" customHeight="1" x14ac:dyDescent="0.2">
      <c r="A60" s="7"/>
      <c r="B60" s="8">
        <f>PAGE_5!N60</f>
        <v>0</v>
      </c>
      <c r="C60" s="8"/>
      <c r="D60" s="8"/>
      <c r="E60" s="8"/>
      <c r="F60" s="8"/>
      <c r="G60" s="8"/>
      <c r="H60" s="8"/>
      <c r="I60" s="8"/>
      <c r="J60" s="9"/>
      <c r="K60" s="8"/>
      <c r="L60" s="8"/>
      <c r="M60" s="8"/>
      <c r="N60" s="14"/>
      <c r="O60" s="14"/>
      <c r="P60" s="14"/>
      <c r="Q60" s="14"/>
      <c r="R60" s="14"/>
    </row>
    <row r="61" spans="1:18" ht="1.1499999999999999" customHeight="1" x14ac:dyDescent="0.2">
      <c r="A61" s="17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ht="1.1499999999999999" customHeight="1" x14ac:dyDescent="0.2">
      <c r="A62" s="1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ht="1.1499999999999999" customHeight="1" x14ac:dyDescent="0.2">
      <c r="A63" s="17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ht="1.1499999999999999" customHeight="1" x14ac:dyDescent="0.2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ht="15" customHeight="1" x14ac:dyDescent="0.2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x14ac:dyDescent="0.2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x14ac:dyDescent="0.2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x14ac:dyDescent="0.2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x14ac:dyDescent="0.2">
      <c r="A79" s="1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x14ac:dyDescent="0.2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">
      <c r="A81" s="1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2">
      <c r="A82" s="17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1:18" x14ac:dyDescent="0.2">
      <c r="A83" s="1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1:18" x14ac:dyDescent="0.2">
      <c r="A84" s="17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1:18" x14ac:dyDescent="0.2">
      <c r="A85" s="17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 x14ac:dyDescent="0.2">
      <c r="A86" s="17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1:18" x14ac:dyDescent="0.2">
      <c r="A87" s="1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1:18" x14ac:dyDescent="0.2">
      <c r="A88" s="17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1:18" x14ac:dyDescent="0.2">
      <c r="A89" s="17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1:18" x14ac:dyDescent="0.2">
      <c r="A90" s="1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x14ac:dyDescent="0.2">
      <c r="A91" s="17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18" x14ac:dyDescent="0.2">
      <c r="A92" s="17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18" x14ac:dyDescent="0.2">
      <c r="A93" s="17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8" x14ac:dyDescent="0.2">
      <c r="A94" s="17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1:18" x14ac:dyDescent="0.2">
      <c r="A95" s="17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x14ac:dyDescent="0.2">
      <c r="A96" s="17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x14ac:dyDescent="0.2">
      <c r="A97" s="17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x14ac:dyDescent="0.2">
      <c r="A98" s="17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 x14ac:dyDescent="0.2">
      <c r="A99" s="17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 x14ac:dyDescent="0.2">
      <c r="A100" s="17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</row>
    <row r="101" spans="1:18" x14ac:dyDescent="0.2">
      <c r="A101" s="17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x14ac:dyDescent="0.2">
      <c r="A102" s="17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8" x14ac:dyDescent="0.2">
      <c r="A103" s="17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</row>
    <row r="104" spans="1:18" x14ac:dyDescent="0.2">
      <c r="A104" s="17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</row>
    <row r="105" spans="1:18" x14ac:dyDescent="0.2">
      <c r="A105" s="17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">
      <c r="A106" s="17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2">
      <c r="A107" s="1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">
      <c r="A108" s="1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">
      <c r="A109" s="1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">
      <c r="A110" s="1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x14ac:dyDescent="0.2">
      <c r="A111" s="17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x14ac:dyDescent="0.2">
      <c r="A112" s="17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</row>
    <row r="113" spans="1:18" x14ac:dyDescent="0.2">
      <c r="A113" s="17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</row>
    <row r="114" spans="1:18" x14ac:dyDescent="0.2">
      <c r="A114" s="1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8" x14ac:dyDescent="0.2">
      <c r="A115" s="17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 x14ac:dyDescent="0.2">
      <c r="A116" s="17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x14ac:dyDescent="0.2">
      <c r="A117" s="17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x14ac:dyDescent="0.2">
      <c r="A118" s="17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</row>
    <row r="119" spans="1:18" x14ac:dyDescent="0.2">
      <c r="A119" s="17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x14ac:dyDescent="0.2">
      <c r="A120" s="17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8" x14ac:dyDescent="0.2">
      <c r="A121" s="17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x14ac:dyDescent="0.2">
      <c r="A122" s="1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</row>
    <row r="123" spans="1:18" x14ac:dyDescent="0.2">
      <c r="A123" s="1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</row>
    <row r="124" spans="1:18" x14ac:dyDescent="0.2">
      <c r="A124" s="1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</row>
    <row r="125" spans="1:18" x14ac:dyDescent="0.2">
      <c r="A125" s="17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 x14ac:dyDescent="0.2">
      <c r="A126" s="17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x14ac:dyDescent="0.2">
      <c r="A127" s="17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</row>
    <row r="128" spans="1:18" x14ac:dyDescent="0.2">
      <c r="A128" s="17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</row>
    <row r="129" spans="1:18" x14ac:dyDescent="0.2">
      <c r="A129" s="17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x14ac:dyDescent="0.2">
      <c r="A130" s="17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</row>
    <row r="131" spans="1:18" x14ac:dyDescent="0.2">
      <c r="A131" s="17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x14ac:dyDescent="0.2">
      <c r="A132" s="17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</row>
    <row r="133" spans="1:18" x14ac:dyDescent="0.2">
      <c r="A133" s="17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</row>
    <row r="134" spans="1:18" x14ac:dyDescent="0.2">
      <c r="A134" s="17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x14ac:dyDescent="0.2">
      <c r="A135" s="1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x14ac:dyDescent="0.2">
      <c r="A136" s="17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</row>
    <row r="137" spans="1:18" x14ac:dyDescent="0.2">
      <c r="A137" s="17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</row>
    <row r="138" spans="1:18" x14ac:dyDescent="0.2">
      <c r="A138" s="17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1:18" x14ac:dyDescent="0.2">
      <c r="A139" s="17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</row>
    <row r="140" spans="1:18" x14ac:dyDescent="0.2">
      <c r="A140" s="17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</row>
    <row r="141" spans="1:18" x14ac:dyDescent="0.2">
      <c r="A141" s="17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</row>
    <row r="142" spans="1:18" x14ac:dyDescent="0.2">
      <c r="A142" s="17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</row>
    <row r="143" spans="1:18" x14ac:dyDescent="0.2">
      <c r="A143" s="17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</row>
    <row r="144" spans="1:18" x14ac:dyDescent="0.2">
      <c r="A144" s="17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</row>
    <row r="145" spans="1:18" x14ac:dyDescent="0.2">
      <c r="A145" s="17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</row>
    <row r="146" spans="1:18" x14ac:dyDescent="0.2">
      <c r="A146" s="17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</row>
    <row r="147" spans="1:18" x14ac:dyDescent="0.2">
      <c r="A147" s="17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</row>
    <row r="148" spans="1:18" x14ac:dyDescent="0.2">
      <c r="A148" s="17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</row>
    <row r="149" spans="1:18" x14ac:dyDescent="0.2">
      <c r="A149" s="17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</row>
    <row r="150" spans="1:18" x14ac:dyDescent="0.2">
      <c r="A150" s="17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</row>
    <row r="151" spans="1:18" x14ac:dyDescent="0.2">
      <c r="A151" s="17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</row>
    <row r="152" spans="1:18" x14ac:dyDescent="0.2">
      <c r="A152" s="17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</row>
    <row r="153" spans="1:18" x14ac:dyDescent="0.2">
      <c r="A153" s="17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</row>
    <row r="154" spans="1:18" x14ac:dyDescent="0.2">
      <c r="A154" s="17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</row>
    <row r="155" spans="1:18" x14ac:dyDescent="0.2">
      <c r="A155" s="17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</row>
    <row r="156" spans="1:18" x14ac:dyDescent="0.2">
      <c r="A156" s="17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</row>
    <row r="157" spans="1:18" x14ac:dyDescent="0.2">
      <c r="A157" s="17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</row>
    <row r="158" spans="1:18" x14ac:dyDescent="0.2">
      <c r="A158" s="17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</row>
    <row r="159" spans="1:18" x14ac:dyDescent="0.2">
      <c r="A159" s="17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</row>
    <row r="160" spans="1:18" x14ac:dyDescent="0.2">
      <c r="A160" s="17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</row>
    <row r="161" spans="1:18" x14ac:dyDescent="0.2">
      <c r="A161" s="17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</row>
    <row r="162" spans="1:18" x14ac:dyDescent="0.2">
      <c r="A162" s="17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18" x14ac:dyDescent="0.2">
      <c r="A163" s="17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4" spans="1:18" x14ac:dyDescent="0.2">
      <c r="A164" s="17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 x14ac:dyDescent="0.2">
      <c r="A165" s="17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</row>
    <row r="166" spans="1:18" x14ac:dyDescent="0.2">
      <c r="A166" s="17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</row>
    <row r="167" spans="1:18" x14ac:dyDescent="0.2">
      <c r="A167" s="17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</row>
    <row r="168" spans="1:18" x14ac:dyDescent="0.2">
      <c r="A168" s="1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</row>
    <row r="169" spans="1:18" x14ac:dyDescent="0.2">
      <c r="A169" s="17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</row>
    <row r="170" spans="1:18" x14ac:dyDescent="0.2">
      <c r="A170" s="17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</row>
    <row r="171" spans="1:18" x14ac:dyDescent="0.2">
      <c r="A171" s="17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</row>
    <row r="172" spans="1:18" x14ac:dyDescent="0.2">
      <c r="A172" s="17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</row>
    <row r="173" spans="1:18" x14ac:dyDescent="0.2">
      <c r="A173" s="17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</row>
    <row r="174" spans="1:18" x14ac:dyDescent="0.2">
      <c r="A174" s="17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</row>
    <row r="175" spans="1:18" x14ac:dyDescent="0.2">
      <c r="A175" s="17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</row>
    <row r="176" spans="1:18" x14ac:dyDescent="0.2">
      <c r="A176" s="17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</row>
    <row r="177" spans="1:18" x14ac:dyDescent="0.2">
      <c r="A177" s="17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</row>
    <row r="178" spans="1:18" x14ac:dyDescent="0.2">
      <c r="A178" s="17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</row>
    <row r="179" spans="1:18" x14ac:dyDescent="0.2">
      <c r="A179" s="17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</row>
    <row r="180" spans="1:18" x14ac:dyDescent="0.2">
      <c r="A180" s="17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</row>
    <row r="181" spans="1:18" x14ac:dyDescent="0.2">
      <c r="A181" s="17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</row>
    <row r="182" spans="1:18" x14ac:dyDescent="0.2">
      <c r="A182" s="17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</row>
    <row r="183" spans="1:18" x14ac:dyDescent="0.2">
      <c r="A183" s="17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</row>
    <row r="184" spans="1:18" x14ac:dyDescent="0.2">
      <c r="A184" s="17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</row>
    <row r="185" spans="1:18" x14ac:dyDescent="0.2">
      <c r="A185" s="17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</row>
    <row r="186" spans="1:18" x14ac:dyDescent="0.2">
      <c r="A186" s="17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</row>
    <row r="187" spans="1:18" x14ac:dyDescent="0.2">
      <c r="A187" s="17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</row>
    <row r="188" spans="1:18" x14ac:dyDescent="0.2">
      <c r="A188" s="17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</row>
    <row r="189" spans="1:18" x14ac:dyDescent="0.2">
      <c r="A189" s="17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1:18" x14ac:dyDescent="0.2">
      <c r="A190" s="17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</row>
  </sheetData>
  <printOptions horizontalCentered="1"/>
  <pageMargins left="0.25" right="0.25" top="0" bottom="0" header="0.25" footer="0"/>
  <pageSetup scale="42" orientation="landscape" r:id="rId1"/>
  <headerFooter>
    <oddFooter>&amp;RSchedule A-13
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962B-3A63-408D-9F27-0C0D17D65075}">
  <sheetPr transitionEvaluation="1" transitionEntry="1"/>
  <dimension ref="A1:AV532"/>
  <sheetViews>
    <sheetView tabSelected="1" defaultGridColor="0" view="pageBreakPreview" colorId="22" zoomScale="80" zoomScaleNormal="87" zoomScaleSheetLayoutView="80" workbookViewId="0">
      <selection activeCell="A7" sqref="A1:A7"/>
    </sheetView>
  </sheetViews>
  <sheetFormatPr defaultColWidth="9.77734375" defaultRowHeight="18" x14ac:dyDescent="0.25"/>
  <cols>
    <col min="1" max="1" width="38.21875" style="77" customWidth="1"/>
    <col min="2" max="2" width="14.88671875" style="1" customWidth="1"/>
    <col min="3" max="3" width="0.109375" style="1" hidden="1" customWidth="1"/>
    <col min="4" max="4" width="3.21875" style="1" customWidth="1"/>
    <col min="5" max="5" width="7.21875" style="1" customWidth="1"/>
    <col min="6" max="6" width="12.77734375" style="1" customWidth="1"/>
    <col min="7" max="7" width="11.88671875" style="1" customWidth="1"/>
    <col min="8" max="8" width="13.33203125" style="1" customWidth="1"/>
    <col min="9" max="9" width="14.44140625" style="1" customWidth="1"/>
    <col min="10" max="10" width="3.109375" style="1" customWidth="1"/>
    <col min="11" max="11" width="10.109375" style="1" customWidth="1"/>
    <col min="12" max="12" width="6.109375" style="1" customWidth="1"/>
    <col min="13" max="13" width="18.6640625" style="1" customWidth="1"/>
    <col min="14" max="14" width="21.44140625" style="1" customWidth="1"/>
    <col min="15" max="15" width="33.33203125" style="1" hidden="1" customWidth="1"/>
    <col min="16" max="16" width="1" style="1" hidden="1" customWidth="1"/>
    <col min="17" max="17" width="3.6640625" style="1" customWidth="1"/>
    <col min="18" max="18" width="13.33203125" style="1" customWidth="1"/>
    <col min="19" max="19" width="10.21875" style="1" customWidth="1"/>
    <col min="20" max="16384" width="9.77734375" style="1"/>
  </cols>
  <sheetData>
    <row r="1" spans="1:48" ht="20.25" x14ac:dyDescent="0.35">
      <c r="A1" s="165" t="str">
        <f>[2]INFORMATION!A1</f>
        <v>M&amp;I 2023 Sch A-13 F.Z25.XLSM</v>
      </c>
    </row>
    <row r="2" spans="1:48" ht="15" customHeight="1" x14ac:dyDescent="0.35">
      <c r="A2" s="200" t="str">
        <f>[2]INFORMATION!A2</f>
        <v>09/13/2022</v>
      </c>
      <c r="B2" s="76"/>
    </row>
    <row r="3" spans="1:48" ht="20.25" x14ac:dyDescent="0.35">
      <c r="A3" s="120" t="str">
        <f>PAGE_1!A3</f>
        <v>CENTRAL VALLEY PROJECT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ht="60.75" x14ac:dyDescent="0.35">
      <c r="A4" s="120" t="str">
        <f>PAGE_1!A4</f>
        <v>SCHEDULE OF HISTORICAL (1981-2021) &amp; PROJECTED (2022-2030) M&amp;I WATER DELIVERIES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ht="81" x14ac:dyDescent="0.35">
      <c r="A5" s="120" t="str">
        <f>PAGE_1!A5</f>
        <v xml:space="preserve">AND PRESENT WORTH @ .023755 FOR CALCULATION OF INDIVIDUAL CONTRACTOR PRORATED CONSTRUCTION COSTS AND RATE   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</row>
    <row r="6" spans="1:48" ht="60.75" x14ac:dyDescent="0.35">
      <c r="A6" s="268" t="s">
        <v>184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S6" s="22"/>
      <c r="AT6" s="22"/>
      <c r="AU6" s="22"/>
      <c r="AV6" s="22"/>
    </row>
    <row r="7" spans="1:48" ht="40.5" x14ac:dyDescent="0.35">
      <c r="A7" s="269" t="s">
        <v>185</v>
      </c>
      <c r="C7" s="78"/>
      <c r="D7" s="22"/>
      <c r="E7" s="22"/>
      <c r="G7" s="22"/>
      <c r="I7" s="79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S7" s="22"/>
      <c r="AT7" s="22"/>
      <c r="AU7" s="22"/>
      <c r="AV7" s="22"/>
    </row>
    <row r="8" spans="1:48" x14ac:dyDescent="0.25">
      <c r="A8" s="80"/>
      <c r="C8" s="22"/>
      <c r="D8" s="22"/>
      <c r="E8" s="22"/>
      <c r="G8" s="22"/>
      <c r="I8" s="7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S8" s="22"/>
      <c r="AT8" s="22"/>
      <c r="AU8" s="22"/>
      <c r="AV8" s="22"/>
    </row>
    <row r="9" spans="1:48" x14ac:dyDescent="0.25">
      <c r="A9" s="80"/>
      <c r="B9" s="22"/>
      <c r="C9" s="22"/>
      <c r="D9" s="22"/>
      <c r="E9" s="22"/>
      <c r="F9" s="22"/>
      <c r="G9" s="22"/>
      <c r="H9" s="22"/>
      <c r="I9" s="81"/>
      <c r="J9" s="22"/>
      <c r="K9" s="8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S9" s="22"/>
      <c r="AT9" s="22"/>
      <c r="AU9" s="22"/>
      <c r="AV9" s="22"/>
    </row>
    <row r="10" spans="1:48" hidden="1" x14ac:dyDescent="0.25">
      <c r="C10" s="22"/>
      <c r="D10" s="22"/>
      <c r="E10" s="22"/>
      <c r="F10" s="22"/>
      <c r="G10" s="22"/>
      <c r="H10" s="22"/>
      <c r="I10" s="81"/>
      <c r="J10" s="22"/>
      <c r="K10" s="8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S10" s="22"/>
      <c r="AT10" s="22"/>
      <c r="AU10" s="22"/>
      <c r="AV10" s="22"/>
    </row>
    <row r="11" spans="1:48" hidden="1" x14ac:dyDescent="0.25">
      <c r="C11" s="22"/>
      <c r="D11" s="22"/>
      <c r="E11" s="22"/>
      <c r="F11" s="22"/>
      <c r="G11" s="22"/>
      <c r="H11" s="22"/>
      <c r="I11" s="22"/>
      <c r="J11" s="22"/>
      <c r="K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S11" s="22"/>
      <c r="AT11" s="22"/>
      <c r="AU11" s="22"/>
      <c r="AV11" s="22"/>
    </row>
    <row r="12" spans="1:48" hidden="1" x14ac:dyDescent="0.25"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S12" s="22"/>
      <c r="AT12" s="22"/>
      <c r="AU12" s="22"/>
      <c r="AV12" s="22"/>
    </row>
    <row r="13" spans="1:48" hidden="1" x14ac:dyDescent="0.25">
      <c r="B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S13" s="22"/>
      <c r="AT13" s="22"/>
      <c r="AU13" s="22"/>
      <c r="AV13" s="22"/>
    </row>
    <row r="14" spans="1:48" hidden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S14" s="22"/>
      <c r="AT14" s="22"/>
      <c r="AU14" s="22"/>
      <c r="AV14" s="22"/>
    </row>
    <row r="15" spans="1:48" hidden="1" x14ac:dyDescent="0.25">
      <c r="A15" s="8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S15" s="22"/>
      <c r="AT15" s="22"/>
      <c r="AU15" s="22"/>
      <c r="AV15" s="22"/>
    </row>
    <row r="16" spans="1:48" hidden="1" x14ac:dyDescent="0.25">
      <c r="A16" s="80"/>
      <c r="B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S16" s="22"/>
      <c r="AT16" s="22"/>
      <c r="AU16" s="22"/>
      <c r="AV16" s="22"/>
    </row>
    <row r="17" spans="1:48" hidden="1" x14ac:dyDescent="0.25">
      <c r="A17" s="80"/>
      <c r="C17" s="22"/>
      <c r="D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S17" s="22"/>
      <c r="AT17" s="22"/>
      <c r="AU17" s="22"/>
      <c r="AV17" s="22"/>
    </row>
    <row r="18" spans="1:48" hidden="1" x14ac:dyDescent="0.25"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S18" s="22"/>
      <c r="AT18" s="22"/>
      <c r="AU18" s="22"/>
      <c r="AV18" s="22"/>
    </row>
    <row r="19" spans="1:48" x14ac:dyDescent="0.25"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S19" s="22"/>
      <c r="AT19" s="22"/>
      <c r="AU19" s="22"/>
      <c r="AV19" s="22"/>
    </row>
    <row r="20" spans="1:48" x14ac:dyDescent="0.25"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S20" s="22"/>
      <c r="AT20" s="22"/>
      <c r="AU20" s="22"/>
      <c r="AV20" s="22"/>
    </row>
    <row r="21" spans="1:48" x14ac:dyDescent="0.25"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S21" s="22"/>
      <c r="AT21" s="22"/>
      <c r="AU21" s="22"/>
      <c r="AV21" s="22"/>
    </row>
    <row r="22" spans="1:48" x14ac:dyDescent="0.25"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S22" s="22"/>
      <c r="AT22" s="22"/>
      <c r="AU22" s="22"/>
      <c r="AV22" s="22"/>
    </row>
    <row r="23" spans="1:48" x14ac:dyDescent="0.25">
      <c r="A23" s="80"/>
      <c r="B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S23" s="22"/>
      <c r="AT23" s="22"/>
      <c r="AU23" s="22"/>
      <c r="AV23" s="22"/>
    </row>
    <row r="24" spans="1:48" x14ac:dyDescent="0.25"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S24" s="22"/>
      <c r="AT24" s="22"/>
      <c r="AU24" s="22"/>
      <c r="AV24" s="22"/>
    </row>
    <row r="25" spans="1:48" x14ac:dyDescent="0.25"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S25" s="22"/>
      <c r="AT25" s="22"/>
      <c r="AU25" s="22"/>
      <c r="AV25" s="22"/>
    </row>
    <row r="26" spans="1:48" x14ac:dyDescent="0.25">
      <c r="C26" s="22"/>
      <c r="D26" s="22"/>
      <c r="E26" s="22"/>
      <c r="F26" s="79"/>
      <c r="G26" s="79"/>
      <c r="H26" s="79"/>
      <c r="I26" s="7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S26" s="22"/>
      <c r="AT26" s="22"/>
      <c r="AU26" s="22"/>
      <c r="AV26" s="22"/>
    </row>
    <row r="27" spans="1:48" x14ac:dyDescent="0.25">
      <c r="B27" s="22"/>
      <c r="C27" s="22"/>
      <c r="D27" s="22"/>
      <c r="E27" s="22"/>
      <c r="F27" s="79"/>
      <c r="G27" s="79"/>
      <c r="H27" s="79"/>
      <c r="I27" s="7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S27" s="22"/>
      <c r="AT27" s="22"/>
      <c r="AU27" s="22"/>
      <c r="AV27" s="22"/>
    </row>
    <row r="28" spans="1:48" x14ac:dyDescent="0.25">
      <c r="B28" s="22"/>
      <c r="C28" s="22"/>
      <c r="D28" s="22"/>
      <c r="E28" s="22"/>
      <c r="F28" s="79"/>
      <c r="G28" s="79"/>
      <c r="H28" s="79"/>
      <c r="I28" s="79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S28" s="22"/>
      <c r="AT28" s="22"/>
      <c r="AU28" s="22"/>
      <c r="AV28" s="22"/>
    </row>
    <row r="29" spans="1:48" x14ac:dyDescent="0.25">
      <c r="B29" s="22"/>
      <c r="C29" s="22"/>
      <c r="D29" s="22"/>
      <c r="E29" s="22"/>
      <c r="F29" s="79"/>
      <c r="G29" s="79"/>
      <c r="H29" s="79"/>
      <c r="I29" s="7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S29" s="22"/>
      <c r="AT29" s="22"/>
      <c r="AU29" s="22"/>
      <c r="AV29" s="22"/>
    </row>
    <row r="30" spans="1:48" x14ac:dyDescent="0.25">
      <c r="B30" s="83"/>
      <c r="C30" s="22"/>
      <c r="D30" s="22"/>
      <c r="E30" s="22"/>
      <c r="F30" s="79"/>
      <c r="G30" s="79"/>
      <c r="J30" s="79"/>
      <c r="K30" s="84"/>
      <c r="L30" s="22"/>
      <c r="M30" s="22"/>
      <c r="N30" s="22"/>
      <c r="O30" s="22"/>
      <c r="P30" s="22"/>
      <c r="Q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S30" s="22"/>
      <c r="AT30" s="22"/>
      <c r="AU30" s="22"/>
      <c r="AV30" s="22"/>
    </row>
    <row r="31" spans="1:48" x14ac:dyDescent="0.25">
      <c r="B31" s="85"/>
      <c r="C31" s="22"/>
      <c r="D31" s="22"/>
      <c r="E31" s="22"/>
      <c r="F31" s="79"/>
      <c r="G31" s="79"/>
      <c r="J31" s="79"/>
      <c r="K31" s="84"/>
      <c r="L31" s="22"/>
      <c r="M31" s="22"/>
      <c r="N31" s="22"/>
      <c r="O31" s="22"/>
      <c r="P31" s="22"/>
      <c r="Q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S31" s="22"/>
      <c r="AT31" s="22"/>
      <c r="AU31" s="22"/>
      <c r="AV31" s="22"/>
    </row>
    <row r="32" spans="1:48" x14ac:dyDescent="0.25">
      <c r="B32" s="22"/>
      <c r="C32" s="22"/>
      <c r="D32" s="22"/>
      <c r="E32" s="22"/>
      <c r="F32" s="79"/>
      <c r="G32" s="79"/>
      <c r="I32" s="86"/>
      <c r="K32" s="87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S32" s="22"/>
      <c r="AT32" s="22"/>
      <c r="AU32" s="22"/>
      <c r="AV32" s="22"/>
    </row>
    <row r="33" spans="1:48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S33" s="22"/>
      <c r="AT33" s="22"/>
      <c r="AU33" s="22"/>
      <c r="AV33" s="22"/>
    </row>
    <row r="34" spans="1:4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S34" s="22"/>
      <c r="AT34" s="22"/>
      <c r="AU34" s="22"/>
      <c r="AV34" s="22"/>
    </row>
    <row r="35" spans="1:48" x14ac:dyDescent="0.25">
      <c r="B35" s="88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S35" s="22"/>
      <c r="AT35" s="22"/>
      <c r="AU35" s="22"/>
      <c r="AV35" s="22"/>
    </row>
    <row r="36" spans="1:48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S36" s="22"/>
      <c r="AT36" s="22"/>
      <c r="AU36" s="22"/>
      <c r="AV36" s="22"/>
    </row>
    <row r="37" spans="1:48" x14ac:dyDescent="0.25">
      <c r="A37" s="4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S37" s="22"/>
      <c r="AT37" s="22"/>
      <c r="AU37" s="22"/>
      <c r="AV37" s="22"/>
    </row>
    <row r="38" spans="1:48" x14ac:dyDescent="0.25">
      <c r="A38" s="47"/>
      <c r="B38" s="22"/>
      <c r="C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S38" s="22"/>
      <c r="AT38" s="22"/>
      <c r="AU38" s="22"/>
      <c r="AV38" s="22"/>
    </row>
    <row r="39" spans="1:48" x14ac:dyDescent="0.25">
      <c r="A39" s="47"/>
      <c r="B39" s="22"/>
      <c r="C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S39" s="22"/>
      <c r="AT39" s="22"/>
      <c r="AU39" s="22"/>
      <c r="AV39" s="22"/>
    </row>
    <row r="40" spans="1:48" x14ac:dyDescent="0.25">
      <c r="A40" s="47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S40" s="22"/>
      <c r="AT40" s="22"/>
      <c r="AU40" s="22"/>
      <c r="AV40" s="22"/>
    </row>
    <row r="41" spans="1:48" x14ac:dyDescent="0.25">
      <c r="A41" s="4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1:48" ht="1.1499999999999999" customHeight="1" x14ac:dyDescent="0.25">
      <c r="A42" s="47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</row>
    <row r="43" spans="1:48" ht="1.1499999999999999" customHeight="1" x14ac:dyDescent="0.25">
      <c r="A43" s="4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</row>
    <row r="44" spans="1:48" ht="1.1499999999999999" customHeight="1" x14ac:dyDescent="0.25">
      <c r="A44" s="4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ht="1.1499999999999999" customHeight="1" x14ac:dyDescent="0.25">
      <c r="A45" s="4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</row>
    <row r="46" spans="1:48" ht="1.1499999999999999" customHeight="1" x14ac:dyDescent="0.25">
      <c r="A46" s="4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</row>
    <row r="47" spans="1:48" ht="1.1499999999999999" customHeight="1" x14ac:dyDescent="0.25">
      <c r="A47" s="4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</row>
    <row r="48" spans="1:48" ht="1.1499999999999999" customHeight="1" x14ac:dyDescent="0.25">
      <c r="A48" s="47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 ht="1.1499999999999999" customHeight="1" x14ac:dyDescent="0.25">
      <c r="A49" s="4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 ht="1.1499999999999999" customHeight="1" x14ac:dyDescent="0.25">
      <c r="A50" s="4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 ht="1.1499999999999999" customHeight="1" x14ac:dyDescent="0.25">
      <c r="A51" s="4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1:48" ht="1.1499999999999999" customHeight="1" x14ac:dyDescent="0.25">
      <c r="A52" s="4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 ht="1.1499999999999999" customHeight="1" x14ac:dyDescent="0.25">
      <c r="A53" s="4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 ht="1.1499999999999999" customHeight="1" x14ac:dyDescent="0.25">
      <c r="A54" s="4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</row>
    <row r="55" spans="1:48" ht="1.1499999999999999" customHeight="1" x14ac:dyDescent="0.25">
      <c r="A55" s="4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</row>
    <row r="56" spans="1:48" x14ac:dyDescent="0.25">
      <c r="A56" s="4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</row>
    <row r="57" spans="1:48" x14ac:dyDescent="0.25">
      <c r="A57" s="4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</row>
    <row r="58" spans="1:48" x14ac:dyDescent="0.25">
      <c r="A58" s="4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</row>
    <row r="59" spans="1:48" x14ac:dyDescent="0.25">
      <c r="A59" s="4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</row>
    <row r="60" spans="1:48" x14ac:dyDescent="0.25">
      <c r="A60" s="4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</row>
    <row r="61" spans="1:48" x14ac:dyDescent="0.25">
      <c r="A61" s="4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</row>
    <row r="62" spans="1:48" x14ac:dyDescent="0.25">
      <c r="A62" s="4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1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1:48" x14ac:dyDescent="0.25">
      <c r="A63" s="47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1:48" x14ac:dyDescent="0.25">
      <c r="A64" s="47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</row>
    <row r="65" spans="1:48" x14ac:dyDescent="0.25">
      <c r="A65" s="4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</row>
    <row r="66" spans="1:48" x14ac:dyDescent="0.25">
      <c r="A66" s="47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1:48" x14ac:dyDescent="0.25">
      <c r="A67" s="47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x14ac:dyDescent="0.25">
      <c r="A68" s="47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1:48" x14ac:dyDescent="0.25">
      <c r="A69" s="4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1:48" x14ac:dyDescent="0.25">
      <c r="A70" s="47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</row>
    <row r="71" spans="1:48" x14ac:dyDescent="0.25">
      <c r="A71" s="47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</row>
    <row r="72" spans="1:48" x14ac:dyDescent="0.25">
      <c r="A72" s="4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</row>
    <row r="73" spans="1:48" x14ac:dyDescent="0.25">
      <c r="A73" s="47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</row>
    <row r="74" spans="1:48" x14ac:dyDescent="0.25">
      <c r="A74" s="47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</row>
    <row r="75" spans="1:48" x14ac:dyDescent="0.25">
      <c r="A75" s="47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</row>
    <row r="76" spans="1:48" x14ac:dyDescent="0.25">
      <c r="A76" s="47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</row>
    <row r="77" spans="1:48" x14ac:dyDescent="0.25">
      <c r="A77" s="47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</row>
    <row r="78" spans="1:48" x14ac:dyDescent="0.25">
      <c r="A78" s="4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</row>
    <row r="79" spans="1:48" x14ac:dyDescent="0.25">
      <c r="A79" s="4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</row>
    <row r="80" spans="1:48" x14ac:dyDescent="0.25">
      <c r="A80" s="47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</row>
    <row r="81" spans="1:48" x14ac:dyDescent="0.25">
      <c r="A81" s="47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</row>
    <row r="82" spans="1:48" x14ac:dyDescent="0.25">
      <c r="A82" s="4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</row>
    <row r="83" spans="1:48" x14ac:dyDescent="0.25">
      <c r="A83" s="4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 x14ac:dyDescent="0.25">
      <c r="A84" s="4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</row>
    <row r="85" spans="1:48" x14ac:dyDescent="0.25">
      <c r="A85" s="47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</row>
    <row r="86" spans="1:48" x14ac:dyDescent="0.25">
      <c r="A86" s="4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</row>
    <row r="87" spans="1:48" x14ac:dyDescent="0.25">
      <c r="A87" s="47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</row>
    <row r="88" spans="1:48" x14ac:dyDescent="0.25">
      <c r="A88" s="47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</row>
    <row r="89" spans="1:48" x14ac:dyDescent="0.25">
      <c r="A89" s="47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</row>
    <row r="90" spans="1:48" x14ac:dyDescent="0.25">
      <c r="A90" s="47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</row>
    <row r="91" spans="1:48" x14ac:dyDescent="0.25">
      <c r="A91" s="47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</row>
    <row r="92" spans="1:48" x14ac:dyDescent="0.25">
      <c r="A92" s="47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</row>
    <row r="93" spans="1:48" x14ac:dyDescent="0.25">
      <c r="A93" s="47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</row>
    <row r="94" spans="1:48" x14ac:dyDescent="0.25">
      <c r="A94" s="47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</row>
    <row r="95" spans="1:48" x14ac:dyDescent="0.25">
      <c r="A95" s="47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</row>
    <row r="96" spans="1:48" x14ac:dyDescent="0.25">
      <c r="A96" s="47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</row>
    <row r="97" spans="1:48" x14ac:dyDescent="0.25">
      <c r="A97" s="47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</row>
    <row r="98" spans="1:48" x14ac:dyDescent="0.25">
      <c r="A98" s="47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</row>
    <row r="99" spans="1:48" x14ac:dyDescent="0.25">
      <c r="A99" s="47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</row>
    <row r="100" spans="1:48" x14ac:dyDescent="0.25">
      <c r="A100" s="47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</row>
    <row r="101" spans="1:48" x14ac:dyDescent="0.25">
      <c r="A101" s="47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</row>
    <row r="102" spans="1:48" x14ac:dyDescent="0.25">
      <c r="A102" s="47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</row>
    <row r="103" spans="1:48" x14ac:dyDescent="0.25">
      <c r="A103" s="47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</row>
    <row r="104" spans="1:48" x14ac:dyDescent="0.25">
      <c r="A104" s="47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</row>
    <row r="105" spans="1:48" x14ac:dyDescent="0.25">
      <c r="A105" s="47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</row>
    <row r="106" spans="1:48" x14ac:dyDescent="0.25">
      <c r="A106" s="47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</row>
    <row r="107" spans="1:48" x14ac:dyDescent="0.25">
      <c r="A107" s="47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</row>
    <row r="108" spans="1:48" x14ac:dyDescent="0.25">
      <c r="A108" s="47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</row>
    <row r="109" spans="1:48" x14ac:dyDescent="0.25">
      <c r="A109" s="47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</row>
    <row r="110" spans="1:48" x14ac:dyDescent="0.25">
      <c r="A110" s="47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</row>
    <row r="111" spans="1:48" x14ac:dyDescent="0.25">
      <c r="A111" s="47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</row>
    <row r="112" spans="1:48" x14ac:dyDescent="0.25">
      <c r="A112" s="47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</row>
    <row r="113" spans="1:48" x14ac:dyDescent="0.25">
      <c r="A113" s="47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</row>
    <row r="114" spans="1:48" x14ac:dyDescent="0.25">
      <c r="A114" s="47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</row>
    <row r="115" spans="1:48" x14ac:dyDescent="0.25">
      <c r="A115" s="47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</row>
    <row r="116" spans="1:48" x14ac:dyDescent="0.25">
      <c r="A116" s="47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</row>
    <row r="117" spans="1:48" x14ac:dyDescent="0.25">
      <c r="A117" s="47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</row>
    <row r="118" spans="1:48" x14ac:dyDescent="0.25">
      <c r="A118" s="47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</row>
    <row r="119" spans="1:48" x14ac:dyDescent="0.25">
      <c r="A119" s="47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</row>
    <row r="120" spans="1:48" x14ac:dyDescent="0.25">
      <c r="A120" s="47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</row>
    <row r="121" spans="1:48" x14ac:dyDescent="0.25">
      <c r="A121" s="47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</row>
    <row r="122" spans="1:48" x14ac:dyDescent="0.25">
      <c r="A122" s="47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</row>
    <row r="123" spans="1:48" x14ac:dyDescent="0.25">
      <c r="A123" s="47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</row>
    <row r="124" spans="1:48" x14ac:dyDescent="0.25">
      <c r="A124" s="47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48" x14ac:dyDescent="0.25">
      <c r="A125" s="47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48" x14ac:dyDescent="0.25">
      <c r="A126" s="47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</row>
    <row r="127" spans="1:48" x14ac:dyDescent="0.25">
      <c r="A127" s="47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</row>
    <row r="128" spans="1:48" x14ac:dyDescent="0.25">
      <c r="A128" s="47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</row>
    <row r="129" spans="1:48" x14ac:dyDescent="0.25">
      <c r="A129" s="47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</row>
    <row r="130" spans="1:48" x14ac:dyDescent="0.25">
      <c r="A130" s="47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</row>
    <row r="131" spans="1:48" x14ac:dyDescent="0.25">
      <c r="A131" s="47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</row>
    <row r="132" spans="1:48" x14ac:dyDescent="0.25">
      <c r="A132" s="47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</row>
    <row r="133" spans="1:48" x14ac:dyDescent="0.25">
      <c r="A133" s="47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</row>
    <row r="134" spans="1:48" x14ac:dyDescent="0.25">
      <c r="A134" s="47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</row>
    <row r="135" spans="1:48" x14ac:dyDescent="0.25">
      <c r="A135" s="47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</row>
    <row r="136" spans="1:48" x14ac:dyDescent="0.25">
      <c r="A136" s="47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</row>
    <row r="137" spans="1:48" x14ac:dyDescent="0.25">
      <c r="A137" s="47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</row>
    <row r="138" spans="1:48" x14ac:dyDescent="0.25">
      <c r="A138" s="47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</row>
    <row r="139" spans="1:48" x14ac:dyDescent="0.25">
      <c r="A139" s="47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</row>
    <row r="140" spans="1:48" x14ac:dyDescent="0.25">
      <c r="A140" s="47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</row>
    <row r="141" spans="1:48" x14ac:dyDescent="0.25">
      <c r="A141" s="47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</row>
    <row r="142" spans="1:48" x14ac:dyDescent="0.25">
      <c r="A142" s="47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</row>
    <row r="143" spans="1:48" x14ac:dyDescent="0.25">
      <c r="A143" s="47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</row>
    <row r="144" spans="1:48" x14ac:dyDescent="0.25">
      <c r="A144" s="47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</row>
    <row r="145" spans="1:48" x14ac:dyDescent="0.25">
      <c r="A145" s="47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</row>
    <row r="146" spans="1:48" x14ac:dyDescent="0.25">
      <c r="A146" s="47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</row>
    <row r="147" spans="1:48" x14ac:dyDescent="0.25">
      <c r="A147" s="47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</row>
    <row r="148" spans="1:48" x14ac:dyDescent="0.25">
      <c r="A148" s="47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48" x14ac:dyDescent="0.25">
      <c r="A149" s="47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</row>
    <row r="150" spans="1:48" x14ac:dyDescent="0.25">
      <c r="A150" s="47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</row>
    <row r="151" spans="1:48" x14ac:dyDescent="0.25">
      <c r="A151" s="47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</row>
    <row r="152" spans="1:48" x14ac:dyDescent="0.25">
      <c r="A152" s="47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</row>
    <row r="153" spans="1:48" x14ac:dyDescent="0.25">
      <c r="A153" s="47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</row>
    <row r="154" spans="1:48" x14ac:dyDescent="0.25">
      <c r="A154" s="47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</row>
    <row r="155" spans="1:48" x14ac:dyDescent="0.25">
      <c r="A155" s="47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</row>
    <row r="156" spans="1:48" x14ac:dyDescent="0.25">
      <c r="A156" s="47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</row>
    <row r="157" spans="1:48" x14ac:dyDescent="0.25">
      <c r="A157" s="47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</row>
    <row r="158" spans="1:48" x14ac:dyDescent="0.25">
      <c r="A158" s="47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</row>
    <row r="159" spans="1:48" x14ac:dyDescent="0.25">
      <c r="A159" s="47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</row>
    <row r="160" spans="1:48" x14ac:dyDescent="0.25">
      <c r="A160" s="47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</row>
    <row r="161" spans="1:48" x14ac:dyDescent="0.25">
      <c r="A161" s="47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</row>
    <row r="162" spans="1:48" x14ac:dyDescent="0.25">
      <c r="A162" s="47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48" x14ac:dyDescent="0.25">
      <c r="A163" s="47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48" x14ac:dyDescent="0.25">
      <c r="A164" s="47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  <row r="165" spans="1:48" x14ac:dyDescent="0.25">
      <c r="A165" s="47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</row>
    <row r="166" spans="1:48" x14ac:dyDescent="0.25">
      <c r="A166" s="47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</row>
    <row r="167" spans="1:48" x14ac:dyDescent="0.25">
      <c r="A167" s="47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</row>
    <row r="168" spans="1:48" x14ac:dyDescent="0.25">
      <c r="A168" s="47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</row>
    <row r="169" spans="1:48" x14ac:dyDescent="0.25">
      <c r="A169" s="47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</row>
    <row r="170" spans="1:48" x14ac:dyDescent="0.25">
      <c r="A170" s="47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</row>
    <row r="171" spans="1:48" x14ac:dyDescent="0.25">
      <c r="A171" s="47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</row>
    <row r="172" spans="1:48" x14ac:dyDescent="0.25">
      <c r="A172" s="47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</row>
    <row r="173" spans="1:48" x14ac:dyDescent="0.25">
      <c r="A173" s="47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</row>
    <row r="174" spans="1:48" x14ac:dyDescent="0.25">
      <c r="A174" s="47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</row>
    <row r="175" spans="1:48" x14ac:dyDescent="0.25">
      <c r="A175" s="47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</row>
    <row r="176" spans="1:48" x14ac:dyDescent="0.25">
      <c r="A176" s="47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</row>
    <row r="177" spans="1:48" x14ac:dyDescent="0.25">
      <c r="A177" s="47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</row>
    <row r="178" spans="1:48" x14ac:dyDescent="0.25">
      <c r="A178" s="47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</row>
    <row r="179" spans="1:48" x14ac:dyDescent="0.25">
      <c r="A179" s="47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</row>
    <row r="180" spans="1:48" x14ac:dyDescent="0.25">
      <c r="A180" s="47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</row>
    <row r="181" spans="1:48" x14ac:dyDescent="0.25">
      <c r="A181" s="47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</row>
    <row r="182" spans="1:48" x14ac:dyDescent="0.25">
      <c r="A182" s="47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</row>
    <row r="183" spans="1:48" x14ac:dyDescent="0.25">
      <c r="A183" s="47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</row>
    <row r="184" spans="1:48" x14ac:dyDescent="0.25">
      <c r="A184" s="47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</row>
    <row r="185" spans="1:48" x14ac:dyDescent="0.25">
      <c r="A185" s="47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</row>
    <row r="186" spans="1:48" x14ac:dyDescent="0.25">
      <c r="A186" s="47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</row>
    <row r="187" spans="1:48" x14ac:dyDescent="0.25">
      <c r="A187" s="47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</row>
    <row r="188" spans="1:48" x14ac:dyDescent="0.25">
      <c r="A188" s="47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</row>
    <row r="189" spans="1:48" x14ac:dyDescent="0.25">
      <c r="A189" s="47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</row>
    <row r="190" spans="1:48" x14ac:dyDescent="0.25">
      <c r="A190" s="47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</row>
    <row r="191" spans="1:48" x14ac:dyDescent="0.25">
      <c r="A191" s="47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</row>
    <row r="192" spans="1:48" x14ac:dyDescent="0.25">
      <c r="A192" s="47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</row>
    <row r="193" spans="1:48" x14ac:dyDescent="0.25">
      <c r="A193" s="47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</row>
    <row r="194" spans="1:48" x14ac:dyDescent="0.25">
      <c r="A194" s="47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</row>
    <row r="195" spans="1:48" x14ac:dyDescent="0.25">
      <c r="A195" s="47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</row>
    <row r="196" spans="1:48" x14ac:dyDescent="0.25">
      <c r="A196" s="47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</row>
    <row r="197" spans="1:48" x14ac:dyDescent="0.25">
      <c r="A197" s="47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</row>
    <row r="198" spans="1:48" x14ac:dyDescent="0.25">
      <c r="A198" s="47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</row>
    <row r="199" spans="1:48" x14ac:dyDescent="0.25">
      <c r="A199" s="47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</row>
    <row r="200" spans="1:48" x14ac:dyDescent="0.25">
      <c r="A200" s="47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</row>
    <row r="201" spans="1:48" x14ac:dyDescent="0.25">
      <c r="A201" s="47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</row>
    <row r="202" spans="1:48" x14ac:dyDescent="0.25">
      <c r="A202" s="47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</row>
    <row r="203" spans="1:48" x14ac:dyDescent="0.25">
      <c r="A203" s="47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</row>
    <row r="204" spans="1:48" x14ac:dyDescent="0.25">
      <c r="A204" s="47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</row>
    <row r="205" spans="1:48" x14ac:dyDescent="0.25">
      <c r="A205" s="47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</row>
    <row r="206" spans="1:48" x14ac:dyDescent="0.25">
      <c r="A206" s="47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</row>
    <row r="207" spans="1:48" x14ac:dyDescent="0.25">
      <c r="A207" s="47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</row>
    <row r="208" spans="1:48" x14ac:dyDescent="0.25">
      <c r="A208" s="47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</row>
    <row r="209" spans="1:48" x14ac:dyDescent="0.25">
      <c r="A209" s="47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</row>
    <row r="210" spans="1:48" x14ac:dyDescent="0.25">
      <c r="A210" s="47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</row>
    <row r="211" spans="1:48" x14ac:dyDescent="0.25">
      <c r="A211" s="47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</row>
    <row r="212" spans="1:48" x14ac:dyDescent="0.25">
      <c r="A212" s="47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</row>
    <row r="213" spans="1:48" x14ac:dyDescent="0.25">
      <c r="A213" s="47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</row>
    <row r="214" spans="1:48" x14ac:dyDescent="0.25">
      <c r="A214" s="47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</row>
    <row r="215" spans="1:48" x14ac:dyDescent="0.25">
      <c r="A215" s="47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</row>
    <row r="216" spans="1:48" x14ac:dyDescent="0.25">
      <c r="A216" s="47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</row>
    <row r="217" spans="1:48" x14ac:dyDescent="0.25">
      <c r="A217" s="47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</row>
    <row r="218" spans="1:48" x14ac:dyDescent="0.25">
      <c r="A218" s="47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</row>
    <row r="219" spans="1:48" x14ac:dyDescent="0.25">
      <c r="A219" s="47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</row>
    <row r="220" spans="1:48" x14ac:dyDescent="0.25">
      <c r="A220" s="47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1:48" x14ac:dyDescent="0.25">
      <c r="A221" s="47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</row>
    <row r="222" spans="1:48" x14ac:dyDescent="0.25">
      <c r="A222" s="47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</row>
    <row r="223" spans="1:48" x14ac:dyDescent="0.25">
      <c r="A223" s="47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</row>
    <row r="224" spans="1:48" x14ac:dyDescent="0.25">
      <c r="A224" s="47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</row>
    <row r="225" spans="1:48" x14ac:dyDescent="0.25">
      <c r="A225" s="47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</row>
    <row r="226" spans="1:48" x14ac:dyDescent="0.25">
      <c r="A226" s="47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</row>
    <row r="227" spans="1:48" x14ac:dyDescent="0.25">
      <c r="A227" s="47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</row>
    <row r="228" spans="1:48" x14ac:dyDescent="0.25">
      <c r="A228" s="47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</row>
    <row r="229" spans="1:48" x14ac:dyDescent="0.25">
      <c r="A229" s="47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</row>
    <row r="230" spans="1:48" x14ac:dyDescent="0.25">
      <c r="A230" s="47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</row>
    <row r="231" spans="1:48" x14ac:dyDescent="0.25">
      <c r="A231" s="47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</row>
    <row r="232" spans="1:48" x14ac:dyDescent="0.25">
      <c r="A232" s="47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</row>
    <row r="233" spans="1:48" x14ac:dyDescent="0.25">
      <c r="A233" s="47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</row>
    <row r="234" spans="1:48" x14ac:dyDescent="0.25">
      <c r="A234" s="47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</row>
    <row r="235" spans="1:48" x14ac:dyDescent="0.25">
      <c r="A235" s="47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</row>
    <row r="236" spans="1:48" x14ac:dyDescent="0.25">
      <c r="A236" s="47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47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47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47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47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47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47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47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47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47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</row>
    <row r="246" spans="1:48" x14ac:dyDescent="0.25">
      <c r="A246" s="47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</row>
    <row r="247" spans="1:48" x14ac:dyDescent="0.25">
      <c r="A247" s="47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</row>
    <row r="248" spans="1:48" x14ac:dyDescent="0.25">
      <c r="A248" s="47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</row>
    <row r="249" spans="1:48" x14ac:dyDescent="0.25">
      <c r="A249" s="47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</row>
    <row r="250" spans="1:48" x14ac:dyDescent="0.25">
      <c r="A250" s="47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</row>
    <row r="251" spans="1:48" x14ac:dyDescent="0.25">
      <c r="A251" s="47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</row>
    <row r="252" spans="1:48" x14ac:dyDescent="0.25">
      <c r="A252" s="47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</row>
    <row r="253" spans="1:48" x14ac:dyDescent="0.25">
      <c r="A253" s="47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</row>
    <row r="254" spans="1:48" x14ac:dyDescent="0.25">
      <c r="A254" s="47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</row>
    <row r="255" spans="1:48" x14ac:dyDescent="0.25">
      <c r="A255" s="47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</row>
    <row r="256" spans="1:48" x14ac:dyDescent="0.25">
      <c r="A256" s="47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</row>
    <row r="257" spans="1:48" x14ac:dyDescent="0.25">
      <c r="A257" s="47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</row>
    <row r="258" spans="1:48" x14ac:dyDescent="0.25">
      <c r="A258" s="47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</row>
    <row r="259" spans="1:48" x14ac:dyDescent="0.25">
      <c r="A259" s="47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</row>
    <row r="260" spans="1:48" x14ac:dyDescent="0.25">
      <c r="A260" s="47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</row>
    <row r="261" spans="1:48" x14ac:dyDescent="0.25">
      <c r="A261" s="47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</row>
    <row r="262" spans="1:48" x14ac:dyDescent="0.25">
      <c r="A262" s="47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</row>
    <row r="263" spans="1:48" x14ac:dyDescent="0.25">
      <c r="A263" s="47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</row>
    <row r="264" spans="1:48" x14ac:dyDescent="0.25">
      <c r="A264" s="47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</row>
    <row r="265" spans="1:48" x14ac:dyDescent="0.25">
      <c r="A265" s="47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</row>
    <row r="266" spans="1:48" x14ac:dyDescent="0.25">
      <c r="A266" s="47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</row>
    <row r="267" spans="1:48" x14ac:dyDescent="0.25">
      <c r="A267" s="47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</row>
    <row r="268" spans="1:48" x14ac:dyDescent="0.25">
      <c r="A268" s="47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</row>
    <row r="269" spans="1:48" x14ac:dyDescent="0.25">
      <c r="A269" s="47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</row>
    <row r="270" spans="1:48" x14ac:dyDescent="0.25">
      <c r="A270" s="47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</row>
    <row r="271" spans="1:48" x14ac:dyDescent="0.25">
      <c r="A271" s="47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</row>
    <row r="272" spans="1:48" x14ac:dyDescent="0.25">
      <c r="A272" s="47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</row>
    <row r="273" spans="1:48" x14ac:dyDescent="0.25">
      <c r="A273" s="47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</row>
    <row r="274" spans="1:48" x14ac:dyDescent="0.25">
      <c r="A274" s="47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</row>
    <row r="275" spans="1:48" x14ac:dyDescent="0.25">
      <c r="A275" s="47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</row>
    <row r="276" spans="1:48" x14ac:dyDescent="0.25">
      <c r="A276" s="47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</row>
    <row r="277" spans="1:48" x14ac:dyDescent="0.25">
      <c r="A277" s="47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</row>
    <row r="278" spans="1:48" x14ac:dyDescent="0.25">
      <c r="A278" s="47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</row>
    <row r="279" spans="1:48" x14ac:dyDescent="0.25">
      <c r="A279" s="47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</row>
    <row r="280" spans="1:48" x14ac:dyDescent="0.25">
      <c r="A280" s="47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</row>
    <row r="281" spans="1:48" x14ac:dyDescent="0.25">
      <c r="A281" s="47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</row>
    <row r="282" spans="1:48" x14ac:dyDescent="0.25">
      <c r="A282" s="47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</row>
    <row r="283" spans="1:48" x14ac:dyDescent="0.25">
      <c r="A283" s="47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</row>
    <row r="284" spans="1:48" x14ac:dyDescent="0.25">
      <c r="A284" s="47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</row>
    <row r="285" spans="1:48" x14ac:dyDescent="0.25">
      <c r="A285" s="47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</row>
    <row r="286" spans="1:48" x14ac:dyDescent="0.25">
      <c r="A286" s="47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</row>
    <row r="287" spans="1:48" x14ac:dyDescent="0.25">
      <c r="A287" s="47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</row>
    <row r="288" spans="1:48" x14ac:dyDescent="0.25">
      <c r="A288" s="47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</row>
    <row r="289" spans="1:48" x14ac:dyDescent="0.25">
      <c r="A289" s="47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</row>
    <row r="290" spans="1:48" x14ac:dyDescent="0.25">
      <c r="A290" s="47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</row>
    <row r="291" spans="1:48" x14ac:dyDescent="0.25">
      <c r="A291" s="47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</row>
    <row r="292" spans="1:48" x14ac:dyDescent="0.25">
      <c r="A292" s="47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</row>
    <row r="293" spans="1:48" x14ac:dyDescent="0.25">
      <c r="A293" s="47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</row>
    <row r="294" spans="1:48" x14ac:dyDescent="0.25">
      <c r="A294" s="47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</row>
    <row r="295" spans="1:48" x14ac:dyDescent="0.25">
      <c r="A295" s="47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</row>
    <row r="296" spans="1:48" x14ac:dyDescent="0.25">
      <c r="A296" s="47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</row>
    <row r="297" spans="1:48" x14ac:dyDescent="0.25">
      <c r="A297" s="47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</row>
    <row r="298" spans="1:48" x14ac:dyDescent="0.25">
      <c r="A298" s="47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</row>
    <row r="299" spans="1:48" x14ac:dyDescent="0.25">
      <c r="A299" s="47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</row>
    <row r="300" spans="1:48" x14ac:dyDescent="0.25">
      <c r="A300" s="47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</row>
    <row r="301" spans="1:48" x14ac:dyDescent="0.25">
      <c r="A301" s="47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</row>
    <row r="302" spans="1:48" x14ac:dyDescent="0.25">
      <c r="A302" s="47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</row>
    <row r="303" spans="1:48" x14ac:dyDescent="0.25">
      <c r="A303" s="47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</row>
    <row r="304" spans="1:48" x14ac:dyDescent="0.25">
      <c r="A304" s="47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</row>
    <row r="305" spans="1:48" x14ac:dyDescent="0.25">
      <c r="A305" s="47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</row>
    <row r="306" spans="1:48" x14ac:dyDescent="0.25">
      <c r="A306" s="47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</row>
    <row r="307" spans="1:48" x14ac:dyDescent="0.25">
      <c r="A307" s="47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</row>
    <row r="308" spans="1:48" x14ac:dyDescent="0.25">
      <c r="A308" s="47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</row>
    <row r="309" spans="1:48" x14ac:dyDescent="0.25">
      <c r="A309" s="47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</row>
    <row r="310" spans="1:48" x14ac:dyDescent="0.25">
      <c r="A310" s="47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</row>
    <row r="311" spans="1:48" x14ac:dyDescent="0.25">
      <c r="A311" s="47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</row>
    <row r="312" spans="1:48" x14ac:dyDescent="0.25">
      <c r="A312" s="47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</row>
    <row r="313" spans="1:48" x14ac:dyDescent="0.25">
      <c r="A313" s="47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</row>
    <row r="314" spans="1:48" x14ac:dyDescent="0.25">
      <c r="A314" s="47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</row>
    <row r="315" spans="1:48" x14ac:dyDescent="0.25">
      <c r="A315" s="47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</row>
    <row r="316" spans="1:48" x14ac:dyDescent="0.25">
      <c r="A316" s="47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</row>
    <row r="317" spans="1:48" x14ac:dyDescent="0.25">
      <c r="A317" s="47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</row>
    <row r="318" spans="1:48" x14ac:dyDescent="0.25">
      <c r="A318" s="47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</row>
    <row r="319" spans="1:48" x14ac:dyDescent="0.25">
      <c r="A319" s="47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</row>
    <row r="320" spans="1:48" x14ac:dyDescent="0.25">
      <c r="A320" s="47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</row>
    <row r="321" spans="1:48" x14ac:dyDescent="0.25">
      <c r="A321" s="47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</row>
    <row r="322" spans="1:48" x14ac:dyDescent="0.25">
      <c r="A322" s="47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</row>
    <row r="323" spans="1:48" x14ac:dyDescent="0.25">
      <c r="A323" s="47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</row>
    <row r="324" spans="1:48" x14ac:dyDescent="0.25">
      <c r="A324" s="47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</row>
    <row r="325" spans="1:48" x14ac:dyDescent="0.25">
      <c r="A325" s="47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</row>
    <row r="326" spans="1:48" x14ac:dyDescent="0.25">
      <c r="A326" s="47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</row>
    <row r="327" spans="1:48" x14ac:dyDescent="0.25">
      <c r="A327" s="47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</row>
    <row r="328" spans="1:48" x14ac:dyDescent="0.25">
      <c r="A328" s="47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</row>
    <row r="329" spans="1:48" x14ac:dyDescent="0.25">
      <c r="A329" s="47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</row>
    <row r="330" spans="1:48" x14ac:dyDescent="0.25">
      <c r="A330" s="47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</row>
    <row r="331" spans="1:48" x14ac:dyDescent="0.25">
      <c r="A331" s="47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</row>
    <row r="332" spans="1:48" x14ac:dyDescent="0.25">
      <c r="A332" s="47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</row>
    <row r="333" spans="1:48" x14ac:dyDescent="0.25">
      <c r="A333" s="47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</row>
    <row r="334" spans="1:48" x14ac:dyDescent="0.25">
      <c r="A334" s="47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</row>
    <row r="335" spans="1:48" x14ac:dyDescent="0.25">
      <c r="A335" s="47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</row>
    <row r="336" spans="1:48" x14ac:dyDescent="0.25">
      <c r="A336" s="47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</row>
    <row r="337" spans="1:48" x14ac:dyDescent="0.25">
      <c r="A337" s="47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</row>
    <row r="338" spans="1:48" x14ac:dyDescent="0.25">
      <c r="A338" s="47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</row>
    <row r="339" spans="1:48" x14ac:dyDescent="0.25">
      <c r="A339" s="47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</row>
    <row r="340" spans="1:48" x14ac:dyDescent="0.25">
      <c r="A340" s="47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</row>
    <row r="341" spans="1:48" x14ac:dyDescent="0.25">
      <c r="A341" s="47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</row>
    <row r="342" spans="1:48" x14ac:dyDescent="0.25">
      <c r="A342" s="47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</row>
    <row r="343" spans="1:48" x14ac:dyDescent="0.25">
      <c r="A343" s="47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</row>
    <row r="344" spans="1:48" x14ac:dyDescent="0.25">
      <c r="A344" s="47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</row>
    <row r="345" spans="1:48" x14ac:dyDescent="0.25">
      <c r="A345" s="47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</row>
    <row r="346" spans="1:48" x14ac:dyDescent="0.25">
      <c r="A346" s="47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</row>
    <row r="347" spans="1:48" x14ac:dyDescent="0.25">
      <c r="A347" s="47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</row>
    <row r="348" spans="1:48" x14ac:dyDescent="0.25">
      <c r="A348" s="47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</row>
    <row r="349" spans="1:48" x14ac:dyDescent="0.25">
      <c r="A349" s="47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</row>
    <row r="350" spans="1:48" x14ac:dyDescent="0.25">
      <c r="A350" s="47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</row>
    <row r="351" spans="1:48" x14ac:dyDescent="0.25">
      <c r="A351" s="47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</row>
    <row r="352" spans="1:48" x14ac:dyDescent="0.25">
      <c r="A352" s="47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</row>
    <row r="353" spans="1:48" x14ac:dyDescent="0.25">
      <c r="A353" s="47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</row>
    <row r="354" spans="1:48" x14ac:dyDescent="0.25">
      <c r="A354" s="47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</row>
    <row r="355" spans="1:48" x14ac:dyDescent="0.25">
      <c r="A355" s="47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</row>
    <row r="356" spans="1:48" x14ac:dyDescent="0.25">
      <c r="A356" s="47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</row>
    <row r="357" spans="1:48" x14ac:dyDescent="0.25">
      <c r="A357" s="47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</row>
    <row r="358" spans="1:48" x14ac:dyDescent="0.25">
      <c r="A358" s="47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</row>
    <row r="359" spans="1:48" x14ac:dyDescent="0.25">
      <c r="A359" s="47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</row>
    <row r="360" spans="1:48" x14ac:dyDescent="0.25">
      <c r="A360" s="47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</row>
    <row r="361" spans="1:48" x14ac:dyDescent="0.25">
      <c r="A361" s="47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</row>
    <row r="362" spans="1:48" x14ac:dyDescent="0.25">
      <c r="A362" s="47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</row>
    <row r="363" spans="1:48" x14ac:dyDescent="0.25">
      <c r="A363" s="47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</row>
    <row r="364" spans="1:48" x14ac:dyDescent="0.25">
      <c r="A364" s="47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</row>
    <row r="365" spans="1:48" x14ac:dyDescent="0.25">
      <c r="A365" s="47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</row>
    <row r="366" spans="1:48" x14ac:dyDescent="0.25">
      <c r="A366" s="47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</row>
    <row r="367" spans="1:48" x14ac:dyDescent="0.25">
      <c r="A367" s="47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</row>
    <row r="368" spans="1:48" x14ac:dyDescent="0.25">
      <c r="A368" s="47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</row>
    <row r="369" spans="1:48" x14ac:dyDescent="0.25">
      <c r="A369" s="47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</row>
    <row r="370" spans="1:48" x14ac:dyDescent="0.25">
      <c r="A370" s="47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</row>
    <row r="371" spans="1:48" x14ac:dyDescent="0.25">
      <c r="A371" s="47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</row>
    <row r="372" spans="1:48" x14ac:dyDescent="0.25">
      <c r="A372" s="47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</row>
    <row r="373" spans="1:48" x14ac:dyDescent="0.25">
      <c r="A373" s="47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</row>
    <row r="374" spans="1:48" x14ac:dyDescent="0.25">
      <c r="A374" s="47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</row>
    <row r="375" spans="1:48" x14ac:dyDescent="0.25">
      <c r="A375" s="47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</row>
    <row r="376" spans="1:48" x14ac:dyDescent="0.25">
      <c r="A376" s="47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</row>
    <row r="377" spans="1:48" x14ac:dyDescent="0.25">
      <c r="A377" s="47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</row>
    <row r="378" spans="1:48" x14ac:dyDescent="0.25">
      <c r="A378" s="47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</row>
    <row r="379" spans="1:48" x14ac:dyDescent="0.25">
      <c r="A379" s="47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</row>
    <row r="380" spans="1:48" x14ac:dyDescent="0.25">
      <c r="A380" s="47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</row>
    <row r="381" spans="1:48" x14ac:dyDescent="0.25">
      <c r="A381" s="47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</row>
    <row r="382" spans="1:48" x14ac:dyDescent="0.25">
      <c r="A382" s="47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</row>
    <row r="383" spans="1:48" x14ac:dyDescent="0.25">
      <c r="A383" s="47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</row>
    <row r="384" spans="1:48" x14ac:dyDescent="0.25">
      <c r="A384" s="47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</row>
    <row r="385" spans="1:48" x14ac:dyDescent="0.25">
      <c r="A385" s="47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</row>
    <row r="386" spans="1:48" x14ac:dyDescent="0.25">
      <c r="A386" s="47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</row>
    <row r="387" spans="1:48" x14ac:dyDescent="0.25">
      <c r="A387" s="47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</row>
    <row r="388" spans="1:48" x14ac:dyDescent="0.25">
      <c r="A388" s="47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</row>
    <row r="389" spans="1:48" x14ac:dyDescent="0.25">
      <c r="A389" s="47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</row>
    <row r="390" spans="1:48" x14ac:dyDescent="0.25">
      <c r="A390" s="47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</row>
    <row r="391" spans="1:48" x14ac:dyDescent="0.25">
      <c r="A391" s="47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</row>
    <row r="392" spans="1:48" x14ac:dyDescent="0.25">
      <c r="A392" s="47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</row>
    <row r="393" spans="1:48" x14ac:dyDescent="0.25">
      <c r="A393" s="47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</row>
    <row r="394" spans="1:48" x14ac:dyDescent="0.25">
      <c r="A394" s="47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</row>
    <row r="395" spans="1:48" x14ac:dyDescent="0.25">
      <c r="A395" s="47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</row>
    <row r="396" spans="1:48" x14ac:dyDescent="0.25">
      <c r="A396" s="47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</row>
    <row r="397" spans="1:48" x14ac:dyDescent="0.25">
      <c r="A397" s="47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</row>
    <row r="398" spans="1:48" x14ac:dyDescent="0.25">
      <c r="A398" s="47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</row>
    <row r="399" spans="1:48" x14ac:dyDescent="0.25">
      <c r="A399" s="47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</row>
    <row r="400" spans="1:48" x14ac:dyDescent="0.25">
      <c r="A400" s="47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</row>
    <row r="401" spans="1:48" x14ac:dyDescent="0.25">
      <c r="A401" s="47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</row>
    <row r="402" spans="1:48" x14ac:dyDescent="0.25">
      <c r="A402" s="47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</row>
    <row r="403" spans="1:48" x14ac:dyDescent="0.25">
      <c r="A403" s="47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</row>
    <row r="404" spans="1:48" x14ac:dyDescent="0.25">
      <c r="A404" s="47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</row>
    <row r="405" spans="1:48" x14ac:dyDescent="0.25">
      <c r="A405" s="47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</row>
    <row r="406" spans="1:48" x14ac:dyDescent="0.25">
      <c r="A406" s="47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</row>
    <row r="407" spans="1:48" x14ac:dyDescent="0.25">
      <c r="A407" s="47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</row>
    <row r="408" spans="1:48" x14ac:dyDescent="0.25">
      <c r="A408" s="47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</row>
    <row r="409" spans="1:48" x14ac:dyDescent="0.25">
      <c r="A409" s="47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</row>
    <row r="410" spans="1:48" x14ac:dyDescent="0.25">
      <c r="A410" s="47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</row>
    <row r="411" spans="1:48" x14ac:dyDescent="0.25">
      <c r="A411" s="47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</row>
    <row r="412" spans="1:48" x14ac:dyDescent="0.25">
      <c r="A412" s="47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</row>
    <row r="413" spans="1:48" x14ac:dyDescent="0.25">
      <c r="A413" s="47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</row>
    <row r="414" spans="1:48" x14ac:dyDescent="0.25">
      <c r="A414" s="47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</row>
    <row r="415" spans="1:48" x14ac:dyDescent="0.25">
      <c r="A415" s="47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</row>
    <row r="416" spans="1:48" x14ac:dyDescent="0.25">
      <c r="A416" s="47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</row>
    <row r="417" spans="1:48" x14ac:dyDescent="0.25">
      <c r="A417" s="47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</row>
    <row r="418" spans="1:48" x14ac:dyDescent="0.25">
      <c r="A418" s="47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</row>
    <row r="419" spans="1:48" x14ac:dyDescent="0.25">
      <c r="A419" s="47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</row>
    <row r="420" spans="1:48" x14ac:dyDescent="0.25">
      <c r="A420" s="47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</row>
    <row r="421" spans="1:48" x14ac:dyDescent="0.25">
      <c r="A421" s="47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</row>
    <row r="422" spans="1:48" x14ac:dyDescent="0.25">
      <c r="A422" s="47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</row>
    <row r="423" spans="1:48" x14ac:dyDescent="0.25">
      <c r="A423" s="47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</row>
    <row r="424" spans="1:48" x14ac:dyDescent="0.25">
      <c r="A424" s="47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</row>
    <row r="425" spans="1:48" x14ac:dyDescent="0.25">
      <c r="A425" s="47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</row>
    <row r="426" spans="1:48" x14ac:dyDescent="0.25">
      <c r="A426" s="47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</row>
    <row r="427" spans="1:48" x14ac:dyDescent="0.25">
      <c r="A427" s="47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</row>
    <row r="428" spans="1:48" x14ac:dyDescent="0.25">
      <c r="A428" s="47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</row>
    <row r="429" spans="1:48" x14ac:dyDescent="0.25">
      <c r="A429" s="47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</row>
    <row r="430" spans="1:48" x14ac:dyDescent="0.25">
      <c r="A430" s="47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</row>
    <row r="431" spans="1:48" x14ac:dyDescent="0.25">
      <c r="A431" s="47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</row>
    <row r="432" spans="1:48" x14ac:dyDescent="0.25">
      <c r="A432" s="47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</row>
    <row r="433" spans="1:48" x14ac:dyDescent="0.25">
      <c r="A433" s="47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</row>
    <row r="434" spans="1:48" x14ac:dyDescent="0.25">
      <c r="A434" s="47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</row>
    <row r="435" spans="1:48" x14ac:dyDescent="0.25">
      <c r="A435" s="47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</row>
    <row r="436" spans="1:48" x14ac:dyDescent="0.25">
      <c r="A436" s="47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</row>
    <row r="437" spans="1:48" x14ac:dyDescent="0.25">
      <c r="A437" s="47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</row>
    <row r="438" spans="1:48" x14ac:dyDescent="0.25">
      <c r="A438" s="47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</row>
    <row r="439" spans="1:48" x14ac:dyDescent="0.25">
      <c r="A439" s="47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</row>
    <row r="440" spans="1:48" x14ac:dyDescent="0.25">
      <c r="A440" s="47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</row>
    <row r="441" spans="1:48" x14ac:dyDescent="0.25">
      <c r="A441" s="47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</row>
    <row r="442" spans="1:48" x14ac:dyDescent="0.25">
      <c r="A442" s="47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</row>
    <row r="443" spans="1:48" x14ac:dyDescent="0.25">
      <c r="A443" s="47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</row>
    <row r="444" spans="1:48" x14ac:dyDescent="0.25">
      <c r="A444" s="47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</row>
    <row r="445" spans="1:48" x14ac:dyDescent="0.25">
      <c r="A445" s="47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</row>
    <row r="446" spans="1:48" x14ac:dyDescent="0.25">
      <c r="A446" s="47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</row>
    <row r="447" spans="1:48" x14ac:dyDescent="0.25">
      <c r="A447" s="47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</row>
    <row r="448" spans="1:48" x14ac:dyDescent="0.25">
      <c r="A448" s="47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</row>
    <row r="449" spans="1:48" x14ac:dyDescent="0.25">
      <c r="A449" s="47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</row>
    <row r="450" spans="1:48" x14ac:dyDescent="0.25">
      <c r="A450" s="47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</row>
    <row r="451" spans="1:48" x14ac:dyDescent="0.25">
      <c r="A451" s="47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</row>
    <row r="452" spans="1:48" x14ac:dyDescent="0.25">
      <c r="A452" s="47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</row>
    <row r="453" spans="1:48" x14ac:dyDescent="0.25">
      <c r="A453" s="47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</row>
    <row r="454" spans="1:48" x14ac:dyDescent="0.25">
      <c r="A454" s="47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</row>
    <row r="455" spans="1:48" x14ac:dyDescent="0.25">
      <c r="A455" s="47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</row>
    <row r="456" spans="1:48" x14ac:dyDescent="0.25">
      <c r="A456" s="47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</row>
    <row r="457" spans="1:48" x14ac:dyDescent="0.25">
      <c r="A457" s="47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</row>
    <row r="458" spans="1:48" x14ac:dyDescent="0.25">
      <c r="A458" s="47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</row>
    <row r="459" spans="1:48" x14ac:dyDescent="0.25">
      <c r="A459" s="47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</row>
    <row r="460" spans="1:48" x14ac:dyDescent="0.25">
      <c r="A460" s="47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</row>
    <row r="461" spans="1:48" x14ac:dyDescent="0.25">
      <c r="A461" s="47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</row>
    <row r="462" spans="1:48" x14ac:dyDescent="0.25">
      <c r="A462" s="47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</row>
    <row r="463" spans="1:48" x14ac:dyDescent="0.25">
      <c r="A463" s="47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</row>
    <row r="464" spans="1:48" x14ac:dyDescent="0.25">
      <c r="A464" s="47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</row>
    <row r="465" spans="1:48" x14ac:dyDescent="0.25">
      <c r="A465" s="47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</row>
    <row r="466" spans="1:48" x14ac:dyDescent="0.25">
      <c r="A466" s="47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</row>
    <row r="467" spans="1:48" x14ac:dyDescent="0.25">
      <c r="A467" s="47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</row>
    <row r="468" spans="1:48" x14ac:dyDescent="0.25">
      <c r="A468" s="47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</row>
    <row r="469" spans="1:48" x14ac:dyDescent="0.25">
      <c r="A469" s="47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</row>
    <row r="470" spans="1:48" x14ac:dyDescent="0.25">
      <c r="A470" s="47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</row>
    <row r="471" spans="1:48" x14ac:dyDescent="0.25">
      <c r="A471" s="47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</row>
    <row r="472" spans="1:48" x14ac:dyDescent="0.25">
      <c r="A472" s="47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</row>
    <row r="473" spans="1:48" x14ac:dyDescent="0.25">
      <c r="A473" s="47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</row>
    <row r="474" spans="1:48" x14ac:dyDescent="0.25">
      <c r="A474" s="47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</row>
    <row r="475" spans="1:48" x14ac:dyDescent="0.25">
      <c r="A475" s="47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</row>
    <row r="476" spans="1:48" x14ac:dyDescent="0.25">
      <c r="A476" s="47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</row>
    <row r="477" spans="1:48" x14ac:dyDescent="0.25">
      <c r="A477" s="47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</row>
    <row r="478" spans="1:48" x14ac:dyDescent="0.25">
      <c r="A478" s="47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</row>
    <row r="479" spans="1:48" x14ac:dyDescent="0.25">
      <c r="A479" s="47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</row>
    <row r="480" spans="1:48" x14ac:dyDescent="0.25">
      <c r="A480" s="47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</row>
    <row r="481" spans="1:48" x14ac:dyDescent="0.25">
      <c r="A481" s="47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</row>
    <row r="482" spans="1:48" x14ac:dyDescent="0.25">
      <c r="A482" s="47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</row>
    <row r="483" spans="1:48" x14ac:dyDescent="0.25">
      <c r="A483" s="47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</row>
    <row r="484" spans="1:48" x14ac:dyDescent="0.25">
      <c r="A484" s="47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</row>
    <row r="485" spans="1:48" x14ac:dyDescent="0.25">
      <c r="A485" s="47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</row>
    <row r="486" spans="1:48" x14ac:dyDescent="0.25">
      <c r="A486" s="47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</row>
    <row r="487" spans="1:48" x14ac:dyDescent="0.25">
      <c r="A487" s="47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</row>
    <row r="488" spans="1:48" x14ac:dyDescent="0.25">
      <c r="A488" s="47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</row>
    <row r="489" spans="1:48" x14ac:dyDescent="0.25">
      <c r="A489" s="47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</row>
    <row r="490" spans="1:48" x14ac:dyDescent="0.25">
      <c r="A490" s="47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</row>
    <row r="491" spans="1:48" x14ac:dyDescent="0.25">
      <c r="A491" s="47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</row>
    <row r="492" spans="1:48" x14ac:dyDescent="0.25">
      <c r="A492" s="47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</row>
    <row r="493" spans="1:48" x14ac:dyDescent="0.25">
      <c r="A493" s="47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</row>
    <row r="494" spans="1:48" x14ac:dyDescent="0.25">
      <c r="A494" s="47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</row>
    <row r="495" spans="1:48" x14ac:dyDescent="0.25">
      <c r="A495" s="47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</row>
    <row r="496" spans="1:48" x14ac:dyDescent="0.25">
      <c r="A496" s="47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</row>
    <row r="497" spans="1:48" x14ac:dyDescent="0.25">
      <c r="A497" s="47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</row>
    <row r="498" spans="1:48" x14ac:dyDescent="0.25">
      <c r="A498" s="47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</row>
    <row r="499" spans="1:48" x14ac:dyDescent="0.25">
      <c r="A499" s="47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</row>
    <row r="500" spans="1:48" x14ac:dyDescent="0.25">
      <c r="A500" s="47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</row>
    <row r="501" spans="1:48" x14ac:dyDescent="0.25">
      <c r="A501" s="47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</row>
    <row r="502" spans="1:48" x14ac:dyDescent="0.25">
      <c r="A502" s="47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</row>
    <row r="503" spans="1:48" x14ac:dyDescent="0.25">
      <c r="A503" s="47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</row>
    <row r="504" spans="1:48" x14ac:dyDescent="0.25">
      <c r="A504" s="47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</row>
    <row r="505" spans="1:48" x14ac:dyDescent="0.25">
      <c r="A505" s="47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</row>
    <row r="506" spans="1:48" x14ac:dyDescent="0.25">
      <c r="A506" s="47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</row>
    <row r="507" spans="1:48" x14ac:dyDescent="0.25">
      <c r="A507" s="47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</row>
    <row r="508" spans="1:48" x14ac:dyDescent="0.25">
      <c r="A508" s="47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</row>
    <row r="509" spans="1:48" x14ac:dyDescent="0.25">
      <c r="A509" s="47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</row>
    <row r="510" spans="1:48" x14ac:dyDescent="0.25">
      <c r="A510" s="47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</row>
    <row r="511" spans="1:48" x14ac:dyDescent="0.25">
      <c r="A511" s="47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</row>
    <row r="512" spans="1:48" x14ac:dyDescent="0.25">
      <c r="A512" s="47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</row>
    <row r="513" spans="1:48" x14ac:dyDescent="0.25">
      <c r="A513" s="47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</row>
    <row r="514" spans="1:48" x14ac:dyDescent="0.25">
      <c r="A514" s="47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</row>
    <row r="515" spans="1:48" x14ac:dyDescent="0.25">
      <c r="A515" s="47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</row>
    <row r="516" spans="1:48" x14ac:dyDescent="0.25">
      <c r="A516" s="47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</row>
    <row r="517" spans="1:48" x14ac:dyDescent="0.25">
      <c r="A517" s="47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</row>
    <row r="518" spans="1:48" x14ac:dyDescent="0.25">
      <c r="A518" s="47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</row>
    <row r="519" spans="1:48" x14ac:dyDescent="0.25">
      <c r="A519" s="47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</row>
    <row r="520" spans="1:48" x14ac:dyDescent="0.25">
      <c r="A520" s="47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</row>
    <row r="521" spans="1:48" x14ac:dyDescent="0.25">
      <c r="A521" s="47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</row>
    <row r="522" spans="1:48" x14ac:dyDescent="0.25">
      <c r="A522" s="47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</row>
    <row r="523" spans="1:48" x14ac:dyDescent="0.25">
      <c r="A523" s="47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</row>
    <row r="524" spans="1:48" x14ac:dyDescent="0.25">
      <c r="A524" s="47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</row>
    <row r="525" spans="1:48" x14ac:dyDescent="0.25">
      <c r="A525" s="47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</row>
    <row r="526" spans="1:48" x14ac:dyDescent="0.25">
      <c r="A526" s="47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</row>
    <row r="527" spans="1:48" x14ac:dyDescent="0.25">
      <c r="A527" s="47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</row>
    <row r="528" spans="1:48" x14ac:dyDescent="0.25">
      <c r="A528" s="47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</row>
    <row r="529" spans="1:48" x14ac:dyDescent="0.25">
      <c r="A529" s="47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</row>
    <row r="530" spans="1:48" x14ac:dyDescent="0.25">
      <c r="A530" s="47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</row>
    <row r="531" spans="1:48" x14ac:dyDescent="0.25">
      <c r="A531" s="47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</row>
    <row r="532" spans="1:48" x14ac:dyDescent="0.25">
      <c r="A532" s="47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</row>
  </sheetData>
  <printOptions horizontalCentered="1"/>
  <pageMargins left="0.25" right="0.25" top="0.5" bottom="0.5" header="0.25" footer="0.25"/>
  <pageSetup scale="70" orientation="landscape" r:id="rId1"/>
  <headerFooter>
    <oddFooter>&amp;RSchedule A-13
Page &amp;P of &amp;N</oddFooter>
  </headerFooter>
  <colBreaks count="1" manualBreakCount="1">
    <brk id="7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CBC9-429D-44F0-A70D-8FC8C502168D}">
  <sheetPr transitionEvaluation="1" transitionEntry="1"/>
  <dimension ref="A1:ID65"/>
  <sheetViews>
    <sheetView showZeros="0" view="pageBreakPreview" zoomScaleNormal="70" zoomScaleSheetLayoutView="100" workbookViewId="0">
      <selection activeCell="AK6" sqref="AK6"/>
    </sheetView>
  </sheetViews>
  <sheetFormatPr defaultColWidth="9.77734375" defaultRowHeight="15" x14ac:dyDescent="0.2"/>
  <cols>
    <col min="1" max="1" width="30.77734375" style="18" customWidth="1"/>
    <col min="2" max="2" width="11.44140625" style="11" customWidth="1"/>
    <col min="3" max="3" width="11.5546875" style="11" customWidth="1"/>
    <col min="4" max="4" width="0" style="11" hidden="1" customWidth="1"/>
    <col min="5" max="6" width="11.109375" style="11" bestFit="1" customWidth="1"/>
    <col min="7" max="7" width="1.77734375" style="11" hidden="1" customWidth="1"/>
    <col min="8" max="8" width="10.109375" style="11" customWidth="1"/>
    <col min="9" max="9" width="10.6640625" style="11" customWidth="1"/>
    <col min="10" max="10" width="1.77734375" style="11" hidden="1" customWidth="1"/>
    <col min="11" max="12" width="10.6640625" style="11" customWidth="1"/>
    <col min="13" max="13" width="1.77734375" style="11" hidden="1" customWidth="1"/>
    <col min="14" max="14" width="7.21875" style="11" bestFit="1" customWidth="1"/>
    <col min="15" max="15" width="10" style="11" bestFit="1" customWidth="1"/>
    <col min="16" max="16" width="1.88671875" style="11" hidden="1" customWidth="1"/>
    <col min="17" max="17" width="13.109375" style="11" customWidth="1"/>
    <col min="18" max="18" width="12.88671875" style="11" customWidth="1"/>
    <col min="19" max="19" width="1.21875" style="11" hidden="1" customWidth="1"/>
    <col min="20" max="20" width="0.77734375" style="11" hidden="1" customWidth="1"/>
    <col min="21" max="21" width="0.21875" style="11" hidden="1" customWidth="1"/>
    <col min="22" max="22" width="0.109375" style="11" hidden="1" customWidth="1"/>
    <col min="23" max="23" width="9.77734375" style="11" hidden="1" customWidth="1"/>
    <col min="24" max="26" width="0.109375" style="11" hidden="1" customWidth="1"/>
    <col min="27" max="27" width="9.77734375" style="11" hidden="1" customWidth="1"/>
    <col min="28" max="29" width="0.21875" style="11" hidden="1" customWidth="1"/>
    <col min="30" max="30" width="9.77734375" style="11" hidden="1" customWidth="1"/>
    <col min="31" max="31" width="10.33203125" style="11" hidden="1" customWidth="1"/>
    <col min="32" max="32" width="3.88671875" style="11" hidden="1" customWidth="1"/>
    <col min="33" max="33" width="14.33203125" style="11" customWidth="1"/>
    <col min="34" max="34" width="14" style="11" customWidth="1"/>
    <col min="35" max="35" width="2.21875" style="11" hidden="1" customWidth="1"/>
    <col min="36" max="36" width="11.44140625" style="11" customWidth="1"/>
    <col min="37" max="37" width="13.6640625" style="11" customWidth="1"/>
    <col min="38" max="38" width="3.44140625" style="11" customWidth="1"/>
    <col min="39" max="39" width="9.77734375" style="11"/>
    <col min="40" max="40" width="20.77734375" style="11" customWidth="1"/>
    <col min="41" max="16384" width="9.77734375" style="11"/>
  </cols>
  <sheetData>
    <row r="1" spans="1:238" s="1" customFormat="1" ht="20.25" x14ac:dyDescent="0.35">
      <c r="A1" s="115" t="str">
        <f>[2]INFORMATION!A1</f>
        <v>M&amp;I 2023 Sch A-13 F.Z25.XLSM</v>
      </c>
      <c r="B1" s="116"/>
      <c r="C1" s="117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6"/>
      <c r="AI1" s="116"/>
      <c r="AJ1" s="116"/>
      <c r="AK1" s="116"/>
    </row>
    <row r="2" spans="1:238" s="1" customFormat="1" ht="20.25" x14ac:dyDescent="0.35">
      <c r="A2" s="119" t="str">
        <f>[2]INFORMATION!A2</f>
        <v>09/13/2022</v>
      </c>
      <c r="B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6"/>
      <c r="AI2" s="116"/>
      <c r="AJ2" s="116"/>
      <c r="AK2" s="116"/>
    </row>
    <row r="3" spans="1:238" s="1" customFormat="1" ht="20.25" x14ac:dyDescent="0.35">
      <c r="A3" s="120" t="str">
        <f>PAGE_1!A3</f>
        <v>CENTRAL VALLEY PROJECT</v>
      </c>
      <c r="B3" s="116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</row>
    <row r="4" spans="1:238" s="1" customFormat="1" ht="81" x14ac:dyDescent="0.35">
      <c r="A4" s="120" t="str">
        <f>PAGE_1!A4</f>
        <v>SCHEDULE OF HISTORICAL (1981-2021) &amp; PROJECTED (2022-2030) M&amp;I WATER DELIVERIES</v>
      </c>
      <c r="B4" s="116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</row>
    <row r="5" spans="1:238" s="1" customFormat="1" ht="101.25" x14ac:dyDescent="0.35">
      <c r="A5" s="120" t="str">
        <f>PAGE_1!A5</f>
        <v xml:space="preserve">AND PRESENT WORTH @ .023755 FOR CALCULATION OF INDIVIDUAL CONTRACTOR PRORATED CONSTRUCTION COSTS AND RATE   </v>
      </c>
      <c r="B5" s="116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</row>
    <row r="6" spans="1:238" s="6" customFormat="1" ht="155.25" x14ac:dyDescent="0.3">
      <c r="A6" s="136" t="s">
        <v>0</v>
      </c>
      <c r="B6" s="137" t="s">
        <v>237</v>
      </c>
      <c r="C6" s="138" t="s">
        <v>238</v>
      </c>
      <c r="D6" s="138" t="s">
        <v>186</v>
      </c>
      <c r="E6" s="139" t="s">
        <v>239</v>
      </c>
      <c r="F6" s="140" t="s">
        <v>240</v>
      </c>
      <c r="G6" s="138" t="s">
        <v>187</v>
      </c>
      <c r="H6" s="140" t="s">
        <v>241</v>
      </c>
      <c r="I6" s="140" t="s">
        <v>242</v>
      </c>
      <c r="J6" s="138" t="s">
        <v>188</v>
      </c>
      <c r="K6" s="140" t="s">
        <v>243</v>
      </c>
      <c r="L6" s="138" t="s">
        <v>244</v>
      </c>
      <c r="M6" s="138" t="s">
        <v>189</v>
      </c>
      <c r="N6" s="140" t="s">
        <v>245</v>
      </c>
      <c r="O6" s="141" t="s">
        <v>246</v>
      </c>
      <c r="P6" s="142" t="s">
        <v>190</v>
      </c>
      <c r="Q6" s="137" t="s">
        <v>247</v>
      </c>
      <c r="R6" s="141" t="s">
        <v>248</v>
      </c>
      <c r="S6" s="143" t="s">
        <v>191</v>
      </c>
      <c r="T6" s="143" t="s">
        <v>192</v>
      </c>
      <c r="U6" s="142" t="s">
        <v>1</v>
      </c>
      <c r="V6" s="144" t="s">
        <v>193</v>
      </c>
      <c r="W6" s="142" t="s">
        <v>194</v>
      </c>
      <c r="X6" s="143" t="s">
        <v>195</v>
      </c>
      <c r="Y6" s="143" t="s">
        <v>196</v>
      </c>
      <c r="Z6" s="143" t="s">
        <v>2</v>
      </c>
      <c r="AA6" s="143" t="s">
        <v>197</v>
      </c>
      <c r="AB6" s="143" t="s">
        <v>198</v>
      </c>
      <c r="AC6" s="143" t="s">
        <v>199</v>
      </c>
      <c r="AD6" s="143" t="s">
        <v>200</v>
      </c>
      <c r="AE6" s="143" t="s">
        <v>3</v>
      </c>
      <c r="AF6" s="143" t="s">
        <v>201</v>
      </c>
      <c r="AG6" s="137" t="s">
        <v>249</v>
      </c>
      <c r="AH6" s="141" t="s">
        <v>250</v>
      </c>
      <c r="AI6" s="142" t="s">
        <v>202</v>
      </c>
      <c r="AJ6" s="137" t="s">
        <v>251</v>
      </c>
      <c r="AK6" s="145" t="s">
        <v>252</v>
      </c>
    </row>
    <row r="7" spans="1:238" ht="17.649999999999999" customHeight="1" x14ac:dyDescent="0.3">
      <c r="A7" s="122" t="s">
        <v>4</v>
      </c>
      <c r="B7" s="123">
        <v>0</v>
      </c>
      <c r="C7" s="124"/>
      <c r="D7" s="125"/>
      <c r="E7" s="124">
        <v>35</v>
      </c>
      <c r="F7" s="124"/>
      <c r="G7" s="125"/>
      <c r="H7" s="126"/>
      <c r="I7" s="125"/>
      <c r="J7" s="125"/>
      <c r="K7" s="124">
        <v>25</v>
      </c>
      <c r="L7" s="124"/>
      <c r="M7" s="125"/>
      <c r="N7" s="124">
        <f t="shared" ref="N7:N29" si="0">B7+E7+K7</f>
        <v>60</v>
      </c>
      <c r="O7" s="124"/>
      <c r="P7" s="124"/>
      <c r="Q7" s="124">
        <v>1721</v>
      </c>
      <c r="R7" s="124"/>
      <c r="S7" s="125"/>
      <c r="T7" s="125"/>
      <c r="U7" s="124"/>
      <c r="V7" s="124"/>
      <c r="W7" s="124"/>
      <c r="X7" s="125"/>
      <c r="Y7" s="125"/>
      <c r="Z7" s="124"/>
      <c r="AA7" s="125"/>
      <c r="AB7" s="125"/>
      <c r="AC7" s="124"/>
      <c r="AD7" s="124"/>
      <c r="AE7" s="124"/>
      <c r="AF7" s="124"/>
      <c r="AG7" s="124">
        <v>141094</v>
      </c>
      <c r="AH7" s="124"/>
      <c r="AI7" s="124"/>
      <c r="AJ7" s="124">
        <v>1283</v>
      </c>
      <c r="AK7" s="124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</row>
    <row r="8" spans="1:238" ht="17.649999999999999" customHeight="1" x14ac:dyDescent="0.3">
      <c r="A8" s="122" t="s">
        <v>5</v>
      </c>
      <c r="B8" s="127">
        <v>0</v>
      </c>
      <c r="C8" s="124"/>
      <c r="D8" s="125"/>
      <c r="E8" s="124">
        <v>11</v>
      </c>
      <c r="F8" s="124"/>
      <c r="G8" s="125"/>
      <c r="H8" s="125"/>
      <c r="I8" s="125"/>
      <c r="J8" s="125"/>
      <c r="K8" s="124">
        <v>25</v>
      </c>
      <c r="L8" s="124"/>
      <c r="M8" s="125"/>
      <c r="N8" s="124">
        <f t="shared" si="0"/>
        <v>36</v>
      </c>
      <c r="O8" s="124"/>
      <c r="P8" s="124"/>
      <c r="Q8" s="124">
        <v>1557</v>
      </c>
      <c r="R8" s="124"/>
      <c r="S8" s="125"/>
      <c r="T8" s="125"/>
      <c r="U8" s="124"/>
      <c r="V8" s="124"/>
      <c r="W8" s="124"/>
      <c r="X8" s="125"/>
      <c r="Y8" s="125"/>
      <c r="Z8" s="124"/>
      <c r="AA8" s="125"/>
      <c r="AB8" s="125"/>
      <c r="AC8" s="124"/>
      <c r="AD8" s="124"/>
      <c r="AE8" s="124"/>
      <c r="AF8" s="124"/>
      <c r="AG8" s="124">
        <v>98470</v>
      </c>
      <c r="AH8" s="124"/>
      <c r="AI8" s="124"/>
      <c r="AJ8" s="124">
        <v>1360</v>
      </c>
      <c r="AK8" s="124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</row>
    <row r="9" spans="1:238" ht="17.649999999999999" customHeight="1" x14ac:dyDescent="0.3">
      <c r="A9" s="122" t="s">
        <v>6</v>
      </c>
      <c r="B9" s="127">
        <v>0</v>
      </c>
      <c r="C9" s="124"/>
      <c r="D9" s="125"/>
      <c r="E9" s="124">
        <v>15</v>
      </c>
      <c r="F9" s="124"/>
      <c r="G9" s="125"/>
      <c r="H9" s="125"/>
      <c r="I9" s="125"/>
      <c r="J9" s="125"/>
      <c r="K9" s="124">
        <v>25</v>
      </c>
      <c r="L9" s="124"/>
      <c r="M9" s="125"/>
      <c r="N9" s="124">
        <f t="shared" si="0"/>
        <v>40</v>
      </c>
      <c r="O9" s="124"/>
      <c r="P9" s="124"/>
      <c r="Q9" s="124">
        <v>1642</v>
      </c>
      <c r="R9" s="124"/>
      <c r="S9" s="125"/>
      <c r="T9" s="125"/>
      <c r="U9" s="124"/>
      <c r="V9" s="124"/>
      <c r="W9" s="124"/>
      <c r="X9" s="125"/>
      <c r="Y9" s="125"/>
      <c r="Z9" s="124"/>
      <c r="AA9" s="125"/>
      <c r="AB9" s="125"/>
      <c r="AC9" s="124"/>
      <c r="AD9" s="124"/>
      <c r="AE9" s="124"/>
      <c r="AF9" s="124"/>
      <c r="AG9" s="124">
        <v>131079</v>
      </c>
      <c r="AH9" s="124"/>
      <c r="AI9" s="124"/>
      <c r="AJ9" s="124">
        <v>1225</v>
      </c>
      <c r="AK9" s="1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ht="17.649999999999999" customHeight="1" x14ac:dyDescent="0.3">
      <c r="A10" s="122" t="s">
        <v>7</v>
      </c>
      <c r="B10" s="127">
        <v>0</v>
      </c>
      <c r="C10" s="124"/>
      <c r="D10" s="125"/>
      <c r="E10" s="124">
        <v>15</v>
      </c>
      <c r="F10" s="124"/>
      <c r="G10" s="125"/>
      <c r="H10" s="125"/>
      <c r="I10" s="125"/>
      <c r="J10" s="125"/>
      <c r="K10" s="124">
        <v>25</v>
      </c>
      <c r="L10" s="124"/>
      <c r="M10" s="125"/>
      <c r="N10" s="124">
        <f t="shared" si="0"/>
        <v>40</v>
      </c>
      <c r="O10" s="124"/>
      <c r="P10" s="124"/>
      <c r="Q10" s="124">
        <v>1911</v>
      </c>
      <c r="R10" s="124"/>
      <c r="S10" s="125"/>
      <c r="T10" s="125"/>
      <c r="U10" s="124"/>
      <c r="V10" s="124"/>
      <c r="W10" s="124"/>
      <c r="X10" s="125"/>
      <c r="Y10" s="125"/>
      <c r="Z10" s="124"/>
      <c r="AA10" s="125"/>
      <c r="AB10" s="125"/>
      <c r="AC10" s="124"/>
      <c r="AD10" s="124"/>
      <c r="AE10" s="124"/>
      <c r="AF10" s="124"/>
      <c r="AG10" s="124">
        <v>130995</v>
      </c>
      <c r="AH10" s="124"/>
      <c r="AI10" s="124"/>
      <c r="AJ10" s="124">
        <v>1358</v>
      </c>
      <c r="AK10" s="124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pans="1:238" ht="17.649999999999999" customHeight="1" x14ac:dyDescent="0.3">
      <c r="A11" s="122" t="s">
        <v>8</v>
      </c>
      <c r="B11" s="124">
        <v>80</v>
      </c>
      <c r="C11" s="124"/>
      <c r="D11" s="125"/>
      <c r="E11" s="124">
        <v>15</v>
      </c>
      <c r="F11" s="124"/>
      <c r="G11" s="125"/>
      <c r="H11" s="125"/>
      <c r="I11" s="125"/>
      <c r="J11" s="125"/>
      <c r="K11" s="124">
        <v>25</v>
      </c>
      <c r="L11" s="124"/>
      <c r="M11" s="125"/>
      <c r="N11" s="124">
        <f t="shared" si="0"/>
        <v>120</v>
      </c>
      <c r="O11" s="124"/>
      <c r="P11" s="124"/>
      <c r="Q11" s="124">
        <v>1942</v>
      </c>
      <c r="R11" s="124"/>
      <c r="S11" s="125"/>
      <c r="T11" s="125"/>
      <c r="U11" s="124"/>
      <c r="V11" s="124"/>
      <c r="W11" s="124"/>
      <c r="X11" s="125"/>
      <c r="Y11" s="125"/>
      <c r="Z11" s="124"/>
      <c r="AA11" s="125"/>
      <c r="AB11" s="125"/>
      <c r="AC11" s="124"/>
      <c r="AD11" s="124"/>
      <c r="AE11" s="124"/>
      <c r="AF11" s="124"/>
      <c r="AG11" s="124">
        <v>132291</v>
      </c>
      <c r="AH11" s="124"/>
      <c r="AI11" s="124"/>
      <c r="AJ11" s="124">
        <v>1759</v>
      </c>
      <c r="AK11" s="1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</row>
    <row r="12" spans="1:238" ht="17.649999999999999" customHeight="1" x14ac:dyDescent="0.3">
      <c r="A12" s="122" t="s">
        <v>9</v>
      </c>
      <c r="B12" s="124">
        <v>40</v>
      </c>
      <c r="C12" s="124"/>
      <c r="D12" s="125"/>
      <c r="E12" s="124">
        <v>15</v>
      </c>
      <c r="F12" s="124"/>
      <c r="G12" s="125"/>
      <c r="H12" s="125"/>
      <c r="I12" s="125"/>
      <c r="J12" s="125"/>
      <c r="K12" s="124">
        <v>25</v>
      </c>
      <c r="L12" s="124"/>
      <c r="M12" s="125"/>
      <c r="N12" s="124">
        <f t="shared" si="0"/>
        <v>80</v>
      </c>
      <c r="O12" s="124"/>
      <c r="P12" s="124"/>
      <c r="Q12" s="124">
        <v>2067</v>
      </c>
      <c r="R12" s="124"/>
      <c r="S12" s="125"/>
      <c r="T12" s="125"/>
      <c r="U12" s="124"/>
      <c r="V12" s="124"/>
      <c r="W12" s="124"/>
      <c r="X12" s="125"/>
      <c r="Y12" s="125"/>
      <c r="Z12" s="124"/>
      <c r="AA12" s="125"/>
      <c r="AB12" s="125"/>
      <c r="AC12" s="124"/>
      <c r="AD12" s="124"/>
      <c r="AE12" s="124"/>
      <c r="AF12" s="124"/>
      <c r="AG12" s="124">
        <v>116230</v>
      </c>
      <c r="AH12" s="124"/>
      <c r="AI12" s="124"/>
      <c r="AJ12" s="124">
        <v>1747</v>
      </c>
      <c r="AK12" s="124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</row>
    <row r="13" spans="1:238" ht="17.649999999999999" customHeight="1" x14ac:dyDescent="0.3">
      <c r="A13" s="122" t="s">
        <v>10</v>
      </c>
      <c r="B13" s="124">
        <v>40</v>
      </c>
      <c r="C13" s="124"/>
      <c r="D13" s="125"/>
      <c r="E13" s="124">
        <v>32</v>
      </c>
      <c r="F13" s="124"/>
      <c r="G13" s="125"/>
      <c r="H13" s="125"/>
      <c r="I13" s="125"/>
      <c r="J13" s="125"/>
      <c r="K13" s="124">
        <v>25</v>
      </c>
      <c r="L13" s="124"/>
      <c r="M13" s="125"/>
      <c r="N13" s="124">
        <f t="shared" si="0"/>
        <v>97</v>
      </c>
      <c r="O13" s="124"/>
      <c r="P13" s="124"/>
      <c r="Q13" s="124">
        <v>2078</v>
      </c>
      <c r="R13" s="124"/>
      <c r="S13" s="125"/>
      <c r="T13" s="125"/>
      <c r="U13" s="124"/>
      <c r="V13" s="124"/>
      <c r="W13" s="124"/>
      <c r="X13" s="125"/>
      <c r="Y13" s="125"/>
      <c r="Z13" s="124"/>
      <c r="AA13" s="125"/>
      <c r="AB13" s="125"/>
      <c r="AC13" s="124"/>
      <c r="AD13" s="124"/>
      <c r="AE13" s="124"/>
      <c r="AF13" s="124"/>
      <c r="AG13" s="124">
        <v>142267</v>
      </c>
      <c r="AH13" s="124"/>
      <c r="AI13" s="124"/>
      <c r="AJ13" s="124">
        <v>2322</v>
      </c>
      <c r="AK13" s="124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</row>
    <row r="14" spans="1:238" ht="17.649999999999999" customHeight="1" x14ac:dyDescent="0.3">
      <c r="A14" s="122" t="s">
        <v>11</v>
      </c>
      <c r="B14" s="124">
        <v>40</v>
      </c>
      <c r="C14" s="124"/>
      <c r="D14" s="125"/>
      <c r="E14" s="124">
        <v>18</v>
      </c>
      <c r="F14" s="124"/>
      <c r="G14" s="125"/>
      <c r="H14" s="125"/>
      <c r="I14" s="125"/>
      <c r="J14" s="125"/>
      <c r="K14" s="124">
        <v>78</v>
      </c>
      <c r="L14" s="124"/>
      <c r="M14" s="125"/>
      <c r="N14" s="124">
        <f t="shared" si="0"/>
        <v>136</v>
      </c>
      <c r="O14" s="124"/>
      <c r="P14" s="124"/>
      <c r="Q14" s="124">
        <v>2096</v>
      </c>
      <c r="R14" s="124"/>
      <c r="S14" s="125"/>
      <c r="T14" s="125"/>
      <c r="U14" s="124"/>
      <c r="V14" s="124"/>
      <c r="W14" s="124"/>
      <c r="X14" s="125"/>
      <c r="Y14" s="125"/>
      <c r="Z14" s="124"/>
      <c r="AA14" s="125"/>
      <c r="AB14" s="125"/>
      <c r="AC14" s="124"/>
      <c r="AD14" s="124"/>
      <c r="AE14" s="124"/>
      <c r="AF14" s="124"/>
      <c r="AG14" s="124">
        <v>126059</v>
      </c>
      <c r="AH14" s="124"/>
      <c r="AI14" s="124"/>
      <c r="AJ14" s="124">
        <v>2296</v>
      </c>
      <c r="AK14" s="124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</row>
    <row r="15" spans="1:238" ht="17.649999999999999" customHeight="1" x14ac:dyDescent="0.3">
      <c r="A15" s="122" t="s">
        <v>12</v>
      </c>
      <c r="B15" s="124">
        <v>40</v>
      </c>
      <c r="C15" s="124"/>
      <c r="D15" s="125"/>
      <c r="E15" s="127">
        <v>0</v>
      </c>
      <c r="F15" s="124"/>
      <c r="G15" s="125"/>
      <c r="H15" s="125"/>
      <c r="I15" s="125"/>
      <c r="J15" s="125"/>
      <c r="K15" s="124">
        <v>199</v>
      </c>
      <c r="L15" s="124"/>
      <c r="M15" s="125"/>
      <c r="N15" s="124">
        <f t="shared" si="0"/>
        <v>239</v>
      </c>
      <c r="O15" s="124"/>
      <c r="P15" s="124"/>
      <c r="Q15" s="124">
        <v>1777</v>
      </c>
      <c r="R15" s="124"/>
      <c r="S15" s="125"/>
      <c r="T15" s="125"/>
      <c r="U15" s="124"/>
      <c r="V15" s="124"/>
      <c r="W15" s="124"/>
      <c r="X15" s="125"/>
      <c r="Y15" s="125"/>
      <c r="Z15" s="124"/>
      <c r="AA15" s="125"/>
      <c r="AB15" s="125"/>
      <c r="AC15" s="124"/>
      <c r="AD15" s="124"/>
      <c r="AE15" s="124"/>
      <c r="AF15" s="124"/>
      <c r="AG15" s="124">
        <v>164612</v>
      </c>
      <c r="AH15" s="124"/>
      <c r="AI15" s="124"/>
      <c r="AJ15" s="124">
        <v>2888</v>
      </c>
      <c r="AK15" s="124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pans="1:238" ht="17.649999999999999" customHeight="1" x14ac:dyDescent="0.3">
      <c r="A16" s="122" t="s">
        <v>13</v>
      </c>
      <c r="B16" s="124">
        <v>40</v>
      </c>
      <c r="C16" s="124"/>
      <c r="D16" s="125"/>
      <c r="E16" s="124">
        <v>15</v>
      </c>
      <c r="F16" s="124"/>
      <c r="G16" s="125"/>
      <c r="H16" s="125"/>
      <c r="I16" s="125"/>
      <c r="J16" s="125"/>
      <c r="K16" s="124">
        <v>67</v>
      </c>
      <c r="L16" s="124"/>
      <c r="M16" s="125"/>
      <c r="N16" s="124">
        <f t="shared" si="0"/>
        <v>122</v>
      </c>
      <c r="O16" s="124"/>
      <c r="P16" s="124"/>
      <c r="Q16" s="124">
        <v>1451</v>
      </c>
      <c r="R16" s="124"/>
      <c r="S16" s="125"/>
      <c r="T16" s="125"/>
      <c r="U16" s="124"/>
      <c r="V16" s="124"/>
      <c r="W16" s="124"/>
      <c r="X16" s="125"/>
      <c r="Y16" s="125"/>
      <c r="Z16" s="124"/>
      <c r="AA16" s="125"/>
      <c r="AB16" s="125"/>
      <c r="AC16" s="124"/>
      <c r="AD16" s="124"/>
      <c r="AE16" s="124"/>
      <c r="AF16" s="124"/>
      <c r="AG16" s="124">
        <v>186679</v>
      </c>
      <c r="AH16" s="124"/>
      <c r="AI16" s="124"/>
      <c r="AJ16" s="124">
        <v>3593</v>
      </c>
      <c r="AK16" s="124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</row>
    <row r="17" spans="1:238" ht="17.649999999999999" customHeight="1" x14ac:dyDescent="0.3">
      <c r="A17" s="122" t="s">
        <v>14</v>
      </c>
      <c r="B17" s="124">
        <v>40</v>
      </c>
      <c r="C17" s="124"/>
      <c r="D17" s="125"/>
      <c r="E17" s="124">
        <v>15</v>
      </c>
      <c r="F17" s="124"/>
      <c r="G17" s="125"/>
      <c r="H17" s="125"/>
      <c r="I17" s="125"/>
      <c r="J17" s="125"/>
      <c r="K17" s="124">
        <v>-88</v>
      </c>
      <c r="L17" s="124"/>
      <c r="M17" s="125"/>
      <c r="N17" s="124">
        <f t="shared" si="0"/>
        <v>-33</v>
      </c>
      <c r="O17" s="124"/>
      <c r="P17" s="124"/>
      <c r="Q17" s="124">
        <v>659</v>
      </c>
      <c r="R17" s="124"/>
      <c r="S17" s="125"/>
      <c r="T17" s="125"/>
      <c r="U17" s="124"/>
      <c r="V17" s="124"/>
      <c r="W17" s="124"/>
      <c r="X17" s="125"/>
      <c r="Y17" s="125"/>
      <c r="Z17" s="124"/>
      <c r="AA17" s="125"/>
      <c r="AB17" s="125"/>
      <c r="AC17" s="124"/>
      <c r="AD17" s="124"/>
      <c r="AE17" s="124"/>
      <c r="AF17" s="124"/>
      <c r="AG17" s="124">
        <v>153363</v>
      </c>
      <c r="AH17" s="124"/>
      <c r="AI17" s="124"/>
      <c r="AJ17" s="124">
        <v>2008</v>
      </c>
      <c r="AK17" s="124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</row>
    <row r="18" spans="1:238" ht="17.649999999999999" customHeight="1" x14ac:dyDescent="0.3">
      <c r="A18" s="122" t="s">
        <v>15</v>
      </c>
      <c r="B18" s="124">
        <v>40</v>
      </c>
      <c r="C18" s="124"/>
      <c r="D18" s="125"/>
      <c r="E18" s="124">
        <v>4</v>
      </c>
      <c r="F18" s="124"/>
      <c r="G18" s="125"/>
      <c r="H18" s="125"/>
      <c r="I18" s="125"/>
      <c r="J18" s="125"/>
      <c r="K18" s="124">
        <v>26</v>
      </c>
      <c r="L18" s="124"/>
      <c r="M18" s="125"/>
      <c r="N18" s="124">
        <f t="shared" si="0"/>
        <v>70</v>
      </c>
      <c r="O18" s="124"/>
      <c r="P18" s="124"/>
      <c r="Q18" s="124">
        <v>2460</v>
      </c>
      <c r="R18" s="124"/>
      <c r="S18" s="125"/>
      <c r="T18" s="125"/>
      <c r="U18" s="124"/>
      <c r="V18" s="124"/>
      <c r="W18" s="124"/>
      <c r="X18" s="125"/>
      <c r="Y18" s="125"/>
      <c r="Z18" s="124"/>
      <c r="AA18" s="125"/>
      <c r="AB18" s="125"/>
      <c r="AC18" s="124"/>
      <c r="AD18" s="124"/>
      <c r="AE18" s="124"/>
      <c r="AF18" s="124"/>
      <c r="AG18" s="124">
        <v>109576</v>
      </c>
      <c r="AH18" s="124"/>
      <c r="AI18" s="124"/>
      <c r="AJ18" s="124">
        <v>3322</v>
      </c>
      <c r="AK18" s="124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</row>
    <row r="19" spans="1:238" ht="17.649999999999999" customHeight="1" x14ac:dyDescent="0.3">
      <c r="A19" s="122" t="s">
        <v>16</v>
      </c>
      <c r="B19" s="127">
        <v>0</v>
      </c>
      <c r="C19" s="124"/>
      <c r="D19" s="125"/>
      <c r="E19" s="124">
        <v>15</v>
      </c>
      <c r="F19" s="124"/>
      <c r="G19" s="125"/>
      <c r="H19" s="125"/>
      <c r="I19" s="125"/>
      <c r="J19" s="125"/>
      <c r="K19" s="124">
        <v>32</v>
      </c>
      <c r="L19" s="124"/>
      <c r="M19" s="125"/>
      <c r="N19" s="124">
        <f t="shared" si="0"/>
        <v>47</v>
      </c>
      <c r="O19" s="124"/>
      <c r="P19" s="124"/>
      <c r="Q19" s="124">
        <v>2076</v>
      </c>
      <c r="R19" s="124"/>
      <c r="S19" s="125"/>
      <c r="T19" s="125"/>
      <c r="U19" s="124"/>
      <c r="V19" s="124"/>
      <c r="W19" s="124"/>
      <c r="X19" s="125"/>
      <c r="Y19" s="125"/>
      <c r="Z19" s="124"/>
      <c r="AA19" s="125"/>
      <c r="AB19" s="125"/>
      <c r="AC19" s="124"/>
      <c r="AD19" s="124"/>
      <c r="AE19" s="124"/>
      <c r="AF19" s="124"/>
      <c r="AG19" s="124">
        <v>93267</v>
      </c>
      <c r="AH19" s="124"/>
      <c r="AI19" s="124"/>
      <c r="AJ19" s="124">
        <v>5539</v>
      </c>
      <c r="AK19" s="124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</row>
    <row r="20" spans="1:238" ht="17.649999999999999" customHeight="1" x14ac:dyDescent="0.3">
      <c r="A20" s="122" t="s">
        <v>17</v>
      </c>
      <c r="B20" s="124">
        <v>70</v>
      </c>
      <c r="C20" s="124"/>
      <c r="D20" s="125"/>
      <c r="E20" s="124">
        <v>15</v>
      </c>
      <c r="F20" s="124"/>
      <c r="G20" s="125"/>
      <c r="H20" s="125"/>
      <c r="I20" s="125"/>
      <c r="J20" s="125"/>
      <c r="K20" s="127">
        <v>0</v>
      </c>
      <c r="L20" s="124"/>
      <c r="M20" s="125"/>
      <c r="N20" s="124">
        <f t="shared" si="0"/>
        <v>85</v>
      </c>
      <c r="O20" s="124"/>
      <c r="P20" s="124"/>
      <c r="Q20" s="124">
        <v>2329</v>
      </c>
      <c r="R20" s="124"/>
      <c r="S20" s="125"/>
      <c r="T20" s="125"/>
      <c r="U20" s="124"/>
      <c r="V20" s="124"/>
      <c r="W20" s="124"/>
      <c r="X20" s="125"/>
      <c r="Y20" s="125"/>
      <c r="Z20" s="124"/>
      <c r="AA20" s="125"/>
      <c r="AB20" s="125"/>
      <c r="AC20" s="124"/>
      <c r="AD20" s="124"/>
      <c r="AE20" s="124"/>
      <c r="AF20" s="124"/>
      <c r="AG20" s="124">
        <v>134903</v>
      </c>
      <c r="AH20" s="124"/>
      <c r="AI20" s="124"/>
      <c r="AJ20" s="124">
        <v>6801</v>
      </c>
      <c r="AK20" s="124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spans="1:238" ht="17.649999999999999" customHeight="1" x14ac:dyDescent="0.3">
      <c r="A21" s="122" t="s">
        <v>18</v>
      </c>
      <c r="B21" s="124">
        <v>40</v>
      </c>
      <c r="C21" s="124"/>
      <c r="D21" s="125"/>
      <c r="E21" s="124">
        <v>15</v>
      </c>
      <c r="F21" s="124"/>
      <c r="G21" s="125"/>
      <c r="H21" s="125"/>
      <c r="I21" s="125"/>
      <c r="J21" s="125"/>
      <c r="K21" s="124">
        <v>25</v>
      </c>
      <c r="L21" s="124"/>
      <c r="M21" s="125"/>
      <c r="N21" s="124">
        <f t="shared" si="0"/>
        <v>80</v>
      </c>
      <c r="O21" s="124"/>
      <c r="P21" s="124"/>
      <c r="Q21" s="124">
        <v>1265</v>
      </c>
      <c r="R21" s="124"/>
      <c r="S21" s="125"/>
      <c r="T21" s="125"/>
      <c r="U21" s="124">
        <v>0</v>
      </c>
      <c r="V21" s="124"/>
      <c r="W21" s="124"/>
      <c r="X21" s="125"/>
      <c r="Y21" s="125"/>
      <c r="Z21" s="124">
        <v>0</v>
      </c>
      <c r="AA21" s="125"/>
      <c r="AB21" s="125"/>
      <c r="AC21" s="124"/>
      <c r="AD21" s="124"/>
      <c r="AE21" s="124">
        <v>0</v>
      </c>
      <c r="AF21" s="124"/>
      <c r="AG21" s="124">
        <v>100593</v>
      </c>
      <c r="AH21" s="124"/>
      <c r="AI21" s="124"/>
      <c r="AJ21" s="124">
        <v>3028</v>
      </c>
      <c r="AK21" s="124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pans="1:238" ht="17.649999999999999" customHeight="1" x14ac:dyDescent="0.3">
      <c r="A22" s="122" t="s">
        <v>19</v>
      </c>
      <c r="B22" s="128">
        <v>0</v>
      </c>
      <c r="C22" s="124"/>
      <c r="D22" s="125"/>
      <c r="E22" s="124">
        <v>15</v>
      </c>
      <c r="F22" s="124"/>
      <c r="G22" s="125"/>
      <c r="H22" s="125"/>
      <c r="I22" s="125"/>
      <c r="J22" s="125"/>
      <c r="K22" s="124">
        <v>25</v>
      </c>
      <c r="L22" s="124"/>
      <c r="M22" s="125"/>
      <c r="N22" s="124">
        <f t="shared" si="0"/>
        <v>40</v>
      </c>
      <c r="O22" s="124"/>
      <c r="P22" s="124"/>
      <c r="Q22" s="124">
        <v>1137</v>
      </c>
      <c r="R22" s="124"/>
      <c r="S22" s="125"/>
      <c r="T22" s="125"/>
      <c r="U22" s="124">
        <v>0</v>
      </c>
      <c r="V22" s="124"/>
      <c r="W22" s="124"/>
      <c r="X22" s="125"/>
      <c r="Y22" s="125"/>
      <c r="Z22" s="124">
        <v>0</v>
      </c>
      <c r="AA22" s="125"/>
      <c r="AB22" s="125"/>
      <c r="AC22" s="124"/>
      <c r="AD22" s="124"/>
      <c r="AE22" s="124">
        <v>0</v>
      </c>
      <c r="AF22" s="124"/>
      <c r="AG22" s="124">
        <v>104924</v>
      </c>
      <c r="AH22" s="124"/>
      <c r="AI22" s="124"/>
      <c r="AJ22" s="124">
        <v>5521</v>
      </c>
      <c r="AK22" s="124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pans="1:238" ht="17.649999999999999" customHeight="1" x14ac:dyDescent="0.3">
      <c r="A23" s="122" t="s">
        <v>20</v>
      </c>
      <c r="B23" s="124">
        <v>76</v>
      </c>
      <c r="C23" s="124"/>
      <c r="D23" s="125"/>
      <c r="E23" s="124">
        <v>15</v>
      </c>
      <c r="F23" s="124"/>
      <c r="G23" s="125"/>
      <c r="H23" s="125"/>
      <c r="I23" s="125"/>
      <c r="J23" s="125"/>
      <c r="K23" s="124">
        <v>25</v>
      </c>
      <c r="L23" s="124"/>
      <c r="M23" s="125"/>
      <c r="N23" s="124">
        <f t="shared" si="0"/>
        <v>116</v>
      </c>
      <c r="O23" s="124"/>
      <c r="P23" s="124"/>
      <c r="Q23" s="124">
        <v>1812</v>
      </c>
      <c r="R23" s="124"/>
      <c r="S23" s="125"/>
      <c r="T23" s="125"/>
      <c r="U23" s="124">
        <v>0</v>
      </c>
      <c r="V23" s="124"/>
      <c r="W23" s="124"/>
      <c r="X23" s="125"/>
      <c r="Y23" s="125"/>
      <c r="Z23" s="124">
        <v>0</v>
      </c>
      <c r="AA23" s="125"/>
      <c r="AB23" s="125"/>
      <c r="AC23" s="124"/>
      <c r="AD23" s="124"/>
      <c r="AE23" s="124">
        <v>0</v>
      </c>
      <c r="AF23" s="124"/>
      <c r="AG23" s="124">
        <v>113378</v>
      </c>
      <c r="AH23" s="124"/>
      <c r="AI23" s="124"/>
      <c r="AJ23" s="124">
        <v>5620</v>
      </c>
      <c r="AK23" s="124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pans="1:238" ht="17.649999999999999" customHeight="1" x14ac:dyDescent="0.3">
      <c r="A24" s="122" t="s">
        <v>21</v>
      </c>
      <c r="B24" s="124">
        <v>113</v>
      </c>
      <c r="C24" s="124"/>
      <c r="D24" s="125"/>
      <c r="E24" s="124">
        <v>15</v>
      </c>
      <c r="F24" s="124"/>
      <c r="G24" s="125"/>
      <c r="H24" s="125"/>
      <c r="I24" s="125"/>
      <c r="J24" s="125"/>
      <c r="K24" s="124">
        <v>22</v>
      </c>
      <c r="L24" s="124"/>
      <c r="M24" s="125"/>
      <c r="N24" s="124">
        <f t="shared" si="0"/>
        <v>150</v>
      </c>
      <c r="O24" s="124"/>
      <c r="P24" s="124"/>
      <c r="Q24" s="124">
        <v>1454</v>
      </c>
      <c r="R24" s="124"/>
      <c r="S24" s="125"/>
      <c r="T24" s="125"/>
      <c r="U24" s="124">
        <v>0</v>
      </c>
      <c r="V24" s="124"/>
      <c r="W24" s="124"/>
      <c r="X24" s="125"/>
      <c r="Y24" s="125"/>
      <c r="Z24" s="124">
        <v>0</v>
      </c>
      <c r="AA24" s="125"/>
      <c r="AB24" s="125"/>
      <c r="AC24" s="124"/>
      <c r="AD24" s="124"/>
      <c r="AE24" s="124">
        <v>0</v>
      </c>
      <c r="AF24" s="124"/>
      <c r="AG24" s="124">
        <v>128980</v>
      </c>
      <c r="AH24" s="124"/>
      <c r="AI24" s="124"/>
      <c r="AJ24" s="124">
        <v>3646</v>
      </c>
      <c r="AK24" s="124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pans="1:238" ht="17.649999999999999" customHeight="1" x14ac:dyDescent="0.3">
      <c r="A25" s="122" t="s">
        <v>22</v>
      </c>
      <c r="B25" s="124">
        <v>40</v>
      </c>
      <c r="C25" s="124"/>
      <c r="D25" s="125"/>
      <c r="E25" s="124">
        <v>15</v>
      </c>
      <c r="F25" s="124"/>
      <c r="G25" s="125"/>
      <c r="H25" s="125"/>
      <c r="I25" s="125"/>
      <c r="J25" s="125"/>
      <c r="K25" s="124">
        <v>22</v>
      </c>
      <c r="L25" s="124" t="s">
        <v>23</v>
      </c>
      <c r="M25" s="125"/>
      <c r="N25" s="124">
        <f t="shared" si="0"/>
        <v>77</v>
      </c>
      <c r="O25" s="124" t="s">
        <v>23</v>
      </c>
      <c r="P25" s="124"/>
      <c r="Q25" s="124">
        <v>1475</v>
      </c>
      <c r="R25" s="124" t="s">
        <v>23</v>
      </c>
      <c r="S25" s="125"/>
      <c r="T25" s="125"/>
      <c r="U25" s="124">
        <v>0</v>
      </c>
      <c r="V25" s="124"/>
      <c r="W25" s="124"/>
      <c r="X25" s="125"/>
      <c r="Y25" s="125"/>
      <c r="Z25" s="124">
        <v>0</v>
      </c>
      <c r="AA25" s="125"/>
      <c r="AB25" s="125"/>
      <c r="AC25" s="124" t="s">
        <v>23</v>
      </c>
      <c r="AD25" s="124"/>
      <c r="AE25" s="124">
        <v>0</v>
      </c>
      <c r="AF25" s="124" t="s">
        <v>23</v>
      </c>
      <c r="AG25" s="124">
        <v>92392</v>
      </c>
      <c r="AH25" s="124" t="s">
        <v>23</v>
      </c>
      <c r="AI25" s="124"/>
      <c r="AJ25" s="124">
        <v>5216</v>
      </c>
      <c r="AK25" s="124" t="s">
        <v>23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pans="1:238" ht="17.649999999999999" customHeight="1" x14ac:dyDescent="0.3">
      <c r="A26" s="122" t="s">
        <v>24</v>
      </c>
      <c r="B26" s="124">
        <v>40</v>
      </c>
      <c r="C26" s="124"/>
      <c r="D26" s="125"/>
      <c r="E26" s="124">
        <v>15</v>
      </c>
      <c r="F26" s="124"/>
      <c r="G26" s="125"/>
      <c r="H26" s="125"/>
      <c r="I26" s="125"/>
      <c r="J26" s="125"/>
      <c r="K26" s="124">
        <v>25</v>
      </c>
      <c r="L26" s="124"/>
      <c r="M26" s="125"/>
      <c r="N26" s="124">
        <f t="shared" si="0"/>
        <v>80</v>
      </c>
      <c r="O26" s="124"/>
      <c r="P26" s="124"/>
      <c r="Q26" s="124">
        <v>1912</v>
      </c>
      <c r="R26" s="124"/>
      <c r="S26" s="125"/>
      <c r="T26" s="125"/>
      <c r="U26" s="124">
        <v>0</v>
      </c>
      <c r="V26" s="124"/>
      <c r="W26" s="124">
        <v>0</v>
      </c>
      <c r="X26" s="125"/>
      <c r="Y26" s="125"/>
      <c r="Z26" s="124">
        <v>0</v>
      </c>
      <c r="AA26" s="125"/>
      <c r="AB26" s="125"/>
      <c r="AC26" s="124">
        <v>0</v>
      </c>
      <c r="AD26" s="124"/>
      <c r="AE26" s="124">
        <v>0</v>
      </c>
      <c r="AF26" s="124">
        <v>0</v>
      </c>
      <c r="AG26" s="124">
        <v>103662</v>
      </c>
      <c r="AH26" s="124"/>
      <c r="AI26" s="124"/>
      <c r="AJ26" s="124">
        <v>5066</v>
      </c>
      <c r="AK26" s="124"/>
      <c r="AL26" s="10"/>
      <c r="AM26" s="10"/>
      <c r="AN26" s="13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ht="17.649999999999999" customHeight="1" x14ac:dyDescent="0.3">
      <c r="A27" s="122" t="s">
        <v>25</v>
      </c>
      <c r="B27" s="124">
        <v>34</v>
      </c>
      <c r="C27" s="124"/>
      <c r="D27" s="125"/>
      <c r="E27" s="124">
        <v>15</v>
      </c>
      <c r="F27" s="124"/>
      <c r="G27" s="125"/>
      <c r="H27" s="125"/>
      <c r="I27" s="125"/>
      <c r="J27" s="125"/>
      <c r="K27" s="124">
        <v>25</v>
      </c>
      <c r="L27" s="124"/>
      <c r="M27" s="125"/>
      <c r="N27" s="124">
        <f t="shared" si="0"/>
        <v>74</v>
      </c>
      <c r="O27" s="124"/>
      <c r="P27" s="124"/>
      <c r="Q27" s="124">
        <v>1726</v>
      </c>
      <c r="R27" s="124"/>
      <c r="S27" s="125"/>
      <c r="T27" s="125"/>
      <c r="U27" s="124" t="e">
        <f>#REF!</f>
        <v>#REF!</v>
      </c>
      <c r="V27" s="124"/>
      <c r="W27" s="124" t="e">
        <f>ROUND(U27*[2]Manual_Input!K33,6)</f>
        <v>#REF!</v>
      </c>
      <c r="X27" s="125"/>
      <c r="Y27" s="125"/>
      <c r="Z27" s="124" t="e">
        <f>#REF!</f>
        <v>#REF!</v>
      </c>
      <c r="AA27" s="125"/>
      <c r="AB27" s="125"/>
      <c r="AC27" s="124" t="e">
        <f>ROUND(Z27*[2]Manual_Input!K33,6)</f>
        <v>#REF!</v>
      </c>
      <c r="AD27" s="124"/>
      <c r="AE27" s="124" t="e">
        <f>#REF!</f>
        <v>#REF!</v>
      </c>
      <c r="AF27" s="124"/>
      <c r="AG27" s="124">
        <v>84806</v>
      </c>
      <c r="AH27" s="124"/>
      <c r="AI27" s="124"/>
      <c r="AJ27" s="124">
        <v>4414</v>
      </c>
      <c r="AK27" s="124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ht="17.649999999999999" customHeight="1" x14ac:dyDescent="0.3">
      <c r="A28" s="129">
        <v>2002</v>
      </c>
      <c r="B28" s="124">
        <v>46</v>
      </c>
      <c r="C28" s="124"/>
      <c r="D28" s="125"/>
      <c r="E28" s="124">
        <v>15</v>
      </c>
      <c r="F28" s="124"/>
      <c r="G28" s="125"/>
      <c r="H28" s="125"/>
      <c r="I28" s="125"/>
      <c r="J28" s="125"/>
      <c r="K28" s="124">
        <v>25</v>
      </c>
      <c r="L28" s="124"/>
      <c r="M28" s="125"/>
      <c r="N28" s="124">
        <f t="shared" si="0"/>
        <v>86</v>
      </c>
      <c r="O28" s="124"/>
      <c r="P28" s="124"/>
      <c r="Q28" s="124">
        <v>1548</v>
      </c>
      <c r="R28" s="124"/>
      <c r="S28" s="125"/>
      <c r="T28" s="125"/>
      <c r="U28" s="124">
        <v>0</v>
      </c>
      <c r="V28" s="124"/>
      <c r="W28" s="124">
        <v>0</v>
      </c>
      <c r="X28" s="125"/>
      <c r="Y28" s="125"/>
      <c r="Z28" s="124">
        <v>0</v>
      </c>
      <c r="AA28" s="125"/>
      <c r="AB28" s="125"/>
      <c r="AC28" s="124">
        <v>0</v>
      </c>
      <c r="AD28" s="124"/>
      <c r="AE28" s="124">
        <v>0</v>
      </c>
      <c r="AF28" s="124">
        <v>0</v>
      </c>
      <c r="AG28" s="124">
        <v>82662</v>
      </c>
      <c r="AH28" s="124"/>
      <c r="AI28" s="124"/>
      <c r="AJ28" s="124">
        <v>6617</v>
      </c>
      <c r="AK28" s="124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pans="1:238" ht="17.649999999999999" customHeight="1" x14ac:dyDescent="0.3">
      <c r="A29" s="129" t="s">
        <v>26</v>
      </c>
      <c r="B29" s="124">
        <v>40</v>
      </c>
      <c r="C29" s="124"/>
      <c r="D29" s="125"/>
      <c r="E29" s="124">
        <v>15</v>
      </c>
      <c r="F29" s="124"/>
      <c r="G29" s="125"/>
      <c r="H29" s="125"/>
      <c r="I29" s="125"/>
      <c r="J29" s="125"/>
      <c r="K29" s="124">
        <v>25</v>
      </c>
      <c r="L29" s="124"/>
      <c r="M29" s="125"/>
      <c r="N29" s="124">
        <f t="shared" si="0"/>
        <v>80</v>
      </c>
      <c r="O29" s="124"/>
      <c r="P29" s="124"/>
      <c r="Q29" s="124">
        <v>2202</v>
      </c>
      <c r="R29" s="124"/>
      <c r="S29" s="125"/>
      <c r="T29" s="125"/>
      <c r="U29" s="124">
        <v>0</v>
      </c>
      <c r="V29" s="124"/>
      <c r="W29" s="124">
        <v>0</v>
      </c>
      <c r="X29" s="125"/>
      <c r="Y29" s="125"/>
      <c r="Z29" s="124">
        <v>0</v>
      </c>
      <c r="AA29" s="125"/>
      <c r="AB29" s="125"/>
      <c r="AC29" s="124">
        <v>0</v>
      </c>
      <c r="AD29" s="124"/>
      <c r="AE29" s="124">
        <v>0</v>
      </c>
      <c r="AF29" s="124">
        <v>0</v>
      </c>
      <c r="AG29" s="124">
        <v>92521</v>
      </c>
      <c r="AH29" s="124"/>
      <c r="AI29" s="124"/>
      <c r="AJ29" s="124">
        <v>1742</v>
      </c>
      <c r="AK29" s="124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pans="1:238" ht="17.649999999999999" customHeight="1" x14ac:dyDescent="0.3">
      <c r="A30" s="129" t="s">
        <v>27</v>
      </c>
      <c r="B30" s="128">
        <v>0</v>
      </c>
      <c r="C30" s="124"/>
      <c r="D30" s="125"/>
      <c r="E30" s="124">
        <v>15</v>
      </c>
      <c r="F30" s="124"/>
      <c r="G30" s="125"/>
      <c r="H30" s="124">
        <v>4</v>
      </c>
      <c r="I30" s="125"/>
      <c r="J30" s="125"/>
      <c r="K30" s="124">
        <v>35</v>
      </c>
      <c r="L30" s="124">
        <v>0</v>
      </c>
      <c r="M30" s="125"/>
      <c r="N30" s="124">
        <f t="shared" ref="N30:O56" si="1">B30+E30+H30+K30</f>
        <v>54</v>
      </c>
      <c r="O30" s="124">
        <v>0</v>
      </c>
      <c r="P30" s="124"/>
      <c r="Q30" s="124">
        <v>2155</v>
      </c>
      <c r="R30" s="124"/>
      <c r="S30" s="125"/>
      <c r="T30" s="125"/>
      <c r="U30" s="124"/>
      <c r="V30" s="124"/>
      <c r="W30" s="124">
        <v>0</v>
      </c>
      <c r="X30" s="125"/>
      <c r="Y30" s="125"/>
      <c r="Z30" s="124">
        <v>0</v>
      </c>
      <c r="AA30" s="125"/>
      <c r="AB30" s="125"/>
      <c r="AC30" s="124">
        <v>0</v>
      </c>
      <c r="AD30" s="124"/>
      <c r="AE30" s="124">
        <v>0</v>
      </c>
      <c r="AF30" s="124">
        <v>0</v>
      </c>
      <c r="AG30" s="124">
        <v>90698</v>
      </c>
      <c r="AH30" s="124">
        <v>0</v>
      </c>
      <c r="AI30" s="124"/>
      <c r="AJ30" s="124">
        <v>2066</v>
      </c>
      <c r="AK30" s="124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pans="1:238" ht="17.649999999999999" customHeight="1" x14ac:dyDescent="0.3">
      <c r="A31" s="129">
        <v>2005</v>
      </c>
      <c r="B31" s="124">
        <v>40</v>
      </c>
      <c r="C31" s="124"/>
      <c r="D31" s="125"/>
      <c r="E31" s="124">
        <v>15</v>
      </c>
      <c r="F31" s="124"/>
      <c r="G31" s="125"/>
      <c r="H31" s="124">
        <v>9</v>
      </c>
      <c r="I31" s="125"/>
      <c r="J31" s="125"/>
      <c r="K31" s="124">
        <v>40</v>
      </c>
      <c r="L31" s="124">
        <v>0</v>
      </c>
      <c r="M31" s="125"/>
      <c r="N31" s="124">
        <f t="shared" si="1"/>
        <v>104</v>
      </c>
      <c r="O31" s="124">
        <v>0</v>
      </c>
      <c r="P31" s="124"/>
      <c r="Q31" s="124">
        <v>2052</v>
      </c>
      <c r="R31" s="124"/>
      <c r="S31" s="125"/>
      <c r="T31" s="125"/>
      <c r="U31" s="124"/>
      <c r="V31" s="124"/>
      <c r="W31" s="124">
        <v>0</v>
      </c>
      <c r="X31" s="125"/>
      <c r="Y31" s="125"/>
      <c r="Z31" s="124">
        <v>0</v>
      </c>
      <c r="AA31" s="125"/>
      <c r="AB31" s="125"/>
      <c r="AC31" s="124">
        <v>0</v>
      </c>
      <c r="AD31" s="124"/>
      <c r="AE31" s="124">
        <v>0</v>
      </c>
      <c r="AF31" s="124">
        <v>0</v>
      </c>
      <c r="AG31" s="124">
        <v>78120</v>
      </c>
      <c r="AH31" s="124">
        <v>0</v>
      </c>
      <c r="AI31" s="124"/>
      <c r="AJ31" s="124">
        <v>1156</v>
      </c>
      <c r="AK31" s="124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</row>
    <row r="32" spans="1:238" ht="17.649999999999999" customHeight="1" x14ac:dyDescent="0.3">
      <c r="A32" s="129">
        <v>2006</v>
      </c>
      <c r="B32" s="128">
        <v>0</v>
      </c>
      <c r="C32" s="124"/>
      <c r="D32" s="130"/>
      <c r="E32" s="124">
        <v>15</v>
      </c>
      <c r="F32" s="124"/>
      <c r="G32" s="125"/>
      <c r="H32" s="124">
        <v>13</v>
      </c>
      <c r="I32" s="124"/>
      <c r="J32" s="125"/>
      <c r="K32" s="128">
        <v>0</v>
      </c>
      <c r="L32" s="124">
        <f>ROUND(K32*[2]Manual_Input!K38,6)</f>
        <v>0</v>
      </c>
      <c r="M32" s="125"/>
      <c r="N32" s="124">
        <f t="shared" si="1"/>
        <v>28</v>
      </c>
      <c r="O32" s="124">
        <f>C32+F32+I32+L32</f>
        <v>0</v>
      </c>
      <c r="P32" s="124"/>
      <c r="Q32" s="124">
        <v>2119</v>
      </c>
      <c r="R32" s="124"/>
      <c r="S32" s="125"/>
      <c r="T32" s="125"/>
      <c r="U32" s="124"/>
      <c r="V32" s="124"/>
      <c r="W32" s="124">
        <v>0</v>
      </c>
      <c r="X32" s="125"/>
      <c r="Y32" s="125"/>
      <c r="Z32" s="124">
        <v>0</v>
      </c>
      <c r="AA32" s="125"/>
      <c r="AB32" s="125"/>
      <c r="AC32" s="124">
        <v>0</v>
      </c>
      <c r="AD32" s="124"/>
      <c r="AE32" s="124">
        <v>0</v>
      </c>
      <c r="AF32" s="124">
        <v>0</v>
      </c>
      <c r="AG32" s="124">
        <v>84837</v>
      </c>
      <c r="AH32" s="124">
        <f>ROUND(AG32*[2]Manual_Input!K38,6)</f>
        <v>0</v>
      </c>
      <c r="AI32" s="124"/>
      <c r="AJ32" s="124">
        <v>219</v>
      </c>
      <c r="AK32" s="124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</row>
    <row r="33" spans="1:238" ht="17.649999999999999" customHeight="1" x14ac:dyDescent="0.3">
      <c r="A33" s="129">
        <v>2007</v>
      </c>
      <c r="B33" s="124">
        <v>23</v>
      </c>
      <c r="C33" s="124"/>
      <c r="D33" s="125"/>
      <c r="E33" s="124">
        <v>15</v>
      </c>
      <c r="F33" s="124"/>
      <c r="G33" s="125"/>
      <c r="H33" s="124">
        <v>22</v>
      </c>
      <c r="I33" s="124"/>
      <c r="J33" s="125"/>
      <c r="K33" s="128">
        <v>0</v>
      </c>
      <c r="L33" s="124"/>
      <c r="M33" s="125"/>
      <c r="N33" s="124">
        <f t="shared" si="1"/>
        <v>60</v>
      </c>
      <c r="O33" s="124">
        <v>0</v>
      </c>
      <c r="P33" s="124"/>
      <c r="Q33" s="124">
        <v>2286</v>
      </c>
      <c r="R33" s="124"/>
      <c r="S33" s="125"/>
      <c r="T33" s="125"/>
      <c r="U33" s="124">
        <v>0</v>
      </c>
      <c r="V33" s="124"/>
      <c r="W33" s="124">
        <v>0</v>
      </c>
      <c r="X33" s="125"/>
      <c r="Y33" s="125"/>
      <c r="Z33" s="124">
        <v>0</v>
      </c>
      <c r="AA33" s="125"/>
      <c r="AB33" s="125"/>
      <c r="AC33" s="124">
        <v>0</v>
      </c>
      <c r="AD33" s="124"/>
      <c r="AE33" s="124">
        <v>0</v>
      </c>
      <c r="AF33" s="124">
        <v>0</v>
      </c>
      <c r="AG33" s="124">
        <v>92708</v>
      </c>
      <c r="AH33" s="124"/>
      <c r="AI33" s="124"/>
      <c r="AJ33" s="124">
        <v>2614</v>
      </c>
      <c r="AK33" s="124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pans="1:238" ht="17.649999999999999" customHeight="1" x14ac:dyDescent="0.3">
      <c r="A34" s="122" t="s">
        <v>28</v>
      </c>
      <c r="B34" s="124">
        <v>7</v>
      </c>
      <c r="C34" s="124"/>
      <c r="D34" s="125"/>
      <c r="E34" s="128">
        <v>0</v>
      </c>
      <c r="F34" s="124"/>
      <c r="G34" s="125"/>
      <c r="H34" s="124">
        <v>16</v>
      </c>
      <c r="I34" s="124"/>
      <c r="J34" s="125"/>
      <c r="K34" s="128">
        <v>0</v>
      </c>
      <c r="L34" s="124"/>
      <c r="M34" s="125"/>
      <c r="N34" s="124">
        <f t="shared" si="1"/>
        <v>23</v>
      </c>
      <c r="O34" s="124">
        <f>C34+F34+I34+L34</f>
        <v>0</v>
      </c>
      <c r="P34" s="124"/>
      <c r="Q34" s="124">
        <v>2019</v>
      </c>
      <c r="R34" s="124"/>
      <c r="S34" s="125"/>
      <c r="T34" s="125"/>
      <c r="U34" s="124">
        <v>0</v>
      </c>
      <c r="V34" s="124"/>
      <c r="W34" s="124">
        <f>ROUND(U34*[2]Manual_Input!K40,6)</f>
        <v>0</v>
      </c>
      <c r="X34" s="125"/>
      <c r="Y34" s="125"/>
      <c r="Z34" s="124">
        <v>0</v>
      </c>
      <c r="AA34" s="125"/>
      <c r="AB34" s="125"/>
      <c r="AC34" s="124">
        <f>ROUND(Z34*[2]Manual_Input!K40,6)</f>
        <v>0</v>
      </c>
      <c r="AD34" s="124"/>
      <c r="AE34" s="124">
        <v>0</v>
      </c>
      <c r="AF34" s="124">
        <f>ROUND(AE34*[2]Manual_Input!K40,6)</f>
        <v>0</v>
      </c>
      <c r="AG34" s="124">
        <v>96947</v>
      </c>
      <c r="AH34" s="124"/>
      <c r="AI34" s="124"/>
      <c r="AJ34" s="124">
        <v>4411</v>
      </c>
      <c r="AK34" s="124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</row>
    <row r="35" spans="1:238" ht="17.649999999999999" customHeight="1" x14ac:dyDescent="0.3">
      <c r="A35" s="122" t="s">
        <v>29</v>
      </c>
      <c r="B35" s="124">
        <v>20</v>
      </c>
      <c r="C35" s="124"/>
      <c r="D35" s="125"/>
      <c r="E35" s="128">
        <v>0</v>
      </c>
      <c r="F35" s="124"/>
      <c r="G35" s="125"/>
      <c r="H35" s="124">
        <v>19</v>
      </c>
      <c r="I35" s="124"/>
      <c r="J35" s="125"/>
      <c r="K35" s="128">
        <v>0</v>
      </c>
      <c r="L35" s="124"/>
      <c r="M35" s="125"/>
      <c r="N35" s="124">
        <f t="shared" si="1"/>
        <v>39</v>
      </c>
      <c r="O35" s="124"/>
      <c r="P35" s="124"/>
      <c r="Q35" s="124">
        <v>1187</v>
      </c>
      <c r="R35" s="124"/>
      <c r="S35" s="125"/>
      <c r="T35" s="125"/>
      <c r="U35" s="124"/>
      <c r="V35" s="124"/>
      <c r="W35" s="124"/>
      <c r="X35" s="125"/>
      <c r="Y35" s="125"/>
      <c r="Z35" s="124"/>
      <c r="AA35" s="125"/>
      <c r="AB35" s="125"/>
      <c r="AC35" s="124"/>
      <c r="AD35" s="124"/>
      <c r="AE35" s="124"/>
      <c r="AF35" s="124"/>
      <c r="AG35" s="124">
        <v>83451</v>
      </c>
      <c r="AH35" s="124"/>
      <c r="AI35" s="124"/>
      <c r="AJ35" s="124">
        <v>3177</v>
      </c>
      <c r="AK35" s="124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pans="1:238" ht="17.649999999999999" customHeight="1" x14ac:dyDescent="0.3">
      <c r="A36" s="131" t="s">
        <v>30</v>
      </c>
      <c r="B36" s="124">
        <v>13</v>
      </c>
      <c r="C36" s="124"/>
      <c r="D36" s="125"/>
      <c r="E36" s="128">
        <v>0</v>
      </c>
      <c r="F36" s="124"/>
      <c r="G36" s="125"/>
      <c r="H36" s="124">
        <v>25</v>
      </c>
      <c r="I36" s="124"/>
      <c r="J36" s="125"/>
      <c r="K36" s="128">
        <v>0</v>
      </c>
      <c r="L36" s="124"/>
      <c r="M36" s="125"/>
      <c r="N36" s="124">
        <f t="shared" si="1"/>
        <v>38</v>
      </c>
      <c r="O36" s="124"/>
      <c r="P36" s="124"/>
      <c r="Q36" s="124">
        <v>1407</v>
      </c>
      <c r="R36" s="124"/>
      <c r="S36" s="125"/>
      <c r="T36" s="125"/>
      <c r="U36" s="124"/>
      <c r="V36" s="124"/>
      <c r="W36" s="124"/>
      <c r="X36" s="125"/>
      <c r="Y36" s="125"/>
      <c r="Z36" s="124"/>
      <c r="AA36" s="125"/>
      <c r="AB36" s="125"/>
      <c r="AC36" s="124"/>
      <c r="AD36" s="124"/>
      <c r="AE36" s="124"/>
      <c r="AF36" s="124"/>
      <c r="AG36" s="124">
        <v>82426</v>
      </c>
      <c r="AH36" s="124"/>
      <c r="AI36" s="124"/>
      <c r="AJ36" s="124">
        <v>4031</v>
      </c>
      <c r="AK36" s="124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</row>
    <row r="37" spans="1:238" ht="17.649999999999999" customHeight="1" x14ac:dyDescent="0.3">
      <c r="A37" s="131" t="s">
        <v>31</v>
      </c>
      <c r="B37" s="124">
        <v>9</v>
      </c>
      <c r="C37" s="124"/>
      <c r="D37" s="125"/>
      <c r="E37" s="128">
        <v>0</v>
      </c>
      <c r="F37" s="124"/>
      <c r="G37" s="125"/>
      <c r="H37" s="124">
        <v>18</v>
      </c>
      <c r="I37" s="124"/>
      <c r="J37" s="125"/>
      <c r="K37" s="128">
        <v>0</v>
      </c>
      <c r="L37" s="124"/>
      <c r="M37" s="125"/>
      <c r="N37" s="124">
        <f t="shared" si="1"/>
        <v>27</v>
      </c>
      <c r="O37" s="124"/>
      <c r="P37" s="124"/>
      <c r="Q37" s="124">
        <v>1716</v>
      </c>
      <c r="R37" s="124"/>
      <c r="S37" s="125"/>
      <c r="T37" s="125"/>
      <c r="U37" s="124"/>
      <c r="V37" s="124"/>
      <c r="W37" s="124"/>
      <c r="X37" s="125"/>
      <c r="Y37" s="125"/>
      <c r="Z37" s="124"/>
      <c r="AA37" s="125"/>
      <c r="AB37" s="125"/>
      <c r="AC37" s="124"/>
      <c r="AD37" s="124"/>
      <c r="AE37" s="124"/>
      <c r="AF37" s="124"/>
      <c r="AG37" s="124">
        <v>54638</v>
      </c>
      <c r="AH37" s="124"/>
      <c r="AI37" s="124"/>
      <c r="AJ37" s="124">
        <v>4697</v>
      </c>
      <c r="AK37" s="124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</row>
    <row r="38" spans="1:238" ht="17.649999999999999" customHeight="1" x14ac:dyDescent="0.3">
      <c r="A38" s="122" t="s">
        <v>32</v>
      </c>
      <c r="B38" s="124">
        <v>8</v>
      </c>
      <c r="C38" s="124"/>
      <c r="D38" s="125"/>
      <c r="E38" s="128">
        <v>0</v>
      </c>
      <c r="F38" s="124"/>
      <c r="G38" s="125"/>
      <c r="H38" s="124">
        <v>20</v>
      </c>
      <c r="I38" s="124"/>
      <c r="J38" s="125"/>
      <c r="K38" s="124">
        <v>25</v>
      </c>
      <c r="L38" s="124"/>
      <c r="M38" s="125"/>
      <c r="N38" s="124">
        <f t="shared" si="1"/>
        <v>53</v>
      </c>
      <c r="O38" s="124"/>
      <c r="P38" s="124"/>
      <c r="Q38" s="124">
        <v>2220</v>
      </c>
      <c r="R38" s="124"/>
      <c r="S38" s="125"/>
      <c r="T38" s="125"/>
      <c r="U38" s="124"/>
      <c r="V38" s="124"/>
      <c r="W38" s="124"/>
      <c r="X38" s="125"/>
      <c r="Y38" s="125"/>
      <c r="Z38" s="124"/>
      <c r="AA38" s="125"/>
      <c r="AB38" s="125"/>
      <c r="AC38" s="124"/>
      <c r="AD38" s="124"/>
      <c r="AE38" s="124"/>
      <c r="AF38" s="124"/>
      <c r="AG38" s="124">
        <v>145714</v>
      </c>
      <c r="AH38" s="124"/>
      <c r="AI38" s="124"/>
      <c r="AJ38" s="124">
        <v>5323</v>
      </c>
      <c r="AK38" s="124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</row>
    <row r="39" spans="1:238" ht="17.649999999999999" customHeight="1" x14ac:dyDescent="0.3">
      <c r="A39" s="122" t="s">
        <v>33</v>
      </c>
      <c r="B39" s="124">
        <v>10</v>
      </c>
      <c r="C39" s="124"/>
      <c r="D39" s="125"/>
      <c r="E39" s="128">
        <v>0</v>
      </c>
      <c r="F39" s="124"/>
      <c r="G39" s="125"/>
      <c r="H39" s="124">
        <v>19</v>
      </c>
      <c r="I39" s="124"/>
      <c r="J39" s="125"/>
      <c r="K39" s="124">
        <v>0</v>
      </c>
      <c r="L39" s="124"/>
      <c r="M39" s="125"/>
      <c r="N39" s="124">
        <f t="shared" si="1"/>
        <v>29</v>
      </c>
      <c r="O39" s="124"/>
      <c r="P39" s="124"/>
      <c r="Q39" s="124">
        <v>2425</v>
      </c>
      <c r="R39" s="124"/>
      <c r="S39" s="125"/>
      <c r="T39" s="125"/>
      <c r="U39" s="124"/>
      <c r="V39" s="124"/>
      <c r="W39" s="124"/>
      <c r="X39" s="125"/>
      <c r="Y39" s="125"/>
      <c r="Z39" s="124"/>
      <c r="AA39" s="125"/>
      <c r="AB39" s="125"/>
      <c r="AC39" s="124"/>
      <c r="AD39" s="124"/>
      <c r="AE39" s="124"/>
      <c r="AF39" s="124"/>
      <c r="AG39" s="124">
        <v>112556</v>
      </c>
      <c r="AH39" s="124"/>
      <c r="AI39" s="124"/>
      <c r="AJ39" s="124">
        <v>6258</v>
      </c>
      <c r="AK39" s="124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</row>
    <row r="40" spans="1:238" ht="17.649999999999999" customHeight="1" x14ac:dyDescent="0.3">
      <c r="A40" s="122" t="s">
        <v>34</v>
      </c>
      <c r="B40" s="124">
        <v>6</v>
      </c>
      <c r="C40" s="124"/>
      <c r="D40" s="125"/>
      <c r="E40" s="128">
        <v>0</v>
      </c>
      <c r="F40" s="124"/>
      <c r="G40" s="125"/>
      <c r="H40" s="124">
        <v>17</v>
      </c>
      <c r="I40" s="124"/>
      <c r="J40" s="125"/>
      <c r="K40" s="124">
        <f>[2]ActualDeliveries!M19</f>
        <v>0</v>
      </c>
      <c r="L40" s="124"/>
      <c r="M40" s="125"/>
      <c r="N40" s="124">
        <f t="shared" si="1"/>
        <v>23</v>
      </c>
      <c r="O40" s="124"/>
      <c r="P40" s="124"/>
      <c r="Q40" s="124">
        <v>1652</v>
      </c>
      <c r="R40" s="124"/>
      <c r="S40" s="125"/>
      <c r="T40" s="125"/>
      <c r="U40" s="124"/>
      <c r="V40" s="124"/>
      <c r="W40" s="124"/>
      <c r="X40" s="125"/>
      <c r="Y40" s="125"/>
      <c r="Z40" s="124"/>
      <c r="AA40" s="125"/>
      <c r="AB40" s="125"/>
      <c r="AC40" s="124"/>
      <c r="AD40" s="124"/>
      <c r="AE40" s="124"/>
      <c r="AF40" s="124"/>
      <c r="AG40" s="124">
        <v>96001</v>
      </c>
      <c r="AH40" s="124"/>
      <c r="AI40" s="124"/>
      <c r="AJ40" s="124">
        <v>4328</v>
      </c>
      <c r="AK40" s="124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</row>
    <row r="41" spans="1:238" ht="17.649999999999999" customHeight="1" x14ac:dyDescent="0.3">
      <c r="A41" s="122" t="s">
        <v>35</v>
      </c>
      <c r="B41" s="124">
        <v>8</v>
      </c>
      <c r="C41" s="124"/>
      <c r="D41" s="125"/>
      <c r="E41" s="124">
        <v>0</v>
      </c>
      <c r="F41" s="124"/>
      <c r="G41" s="125"/>
      <c r="H41" s="124">
        <v>15</v>
      </c>
      <c r="I41" s="124"/>
      <c r="J41" s="125"/>
      <c r="K41" s="124">
        <v>0</v>
      </c>
      <c r="L41" s="124"/>
      <c r="M41" s="125"/>
      <c r="N41" s="124">
        <f t="shared" si="1"/>
        <v>23</v>
      </c>
      <c r="O41" s="124"/>
      <c r="P41" s="124"/>
      <c r="Q41" s="124">
        <v>557</v>
      </c>
      <c r="R41" s="124"/>
      <c r="S41" s="125"/>
      <c r="T41" s="125"/>
      <c r="U41" s="124"/>
      <c r="V41" s="124"/>
      <c r="W41" s="124"/>
      <c r="X41" s="125"/>
      <c r="Y41" s="125"/>
      <c r="Z41" s="124"/>
      <c r="AA41" s="125"/>
      <c r="AB41" s="125"/>
      <c r="AC41" s="124"/>
      <c r="AD41" s="124"/>
      <c r="AE41" s="124"/>
      <c r="AF41" s="124"/>
      <c r="AG41" s="124">
        <v>56053</v>
      </c>
      <c r="AH41" s="124"/>
      <c r="AI41" s="124"/>
      <c r="AJ41" s="124">
        <v>1911</v>
      </c>
      <c r="AK41" s="124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</row>
    <row r="42" spans="1:238" ht="17.649999999999999" customHeight="1" x14ac:dyDescent="0.3">
      <c r="A42" s="122" t="s">
        <v>36</v>
      </c>
      <c r="B42" s="124">
        <v>5</v>
      </c>
      <c r="C42" s="124"/>
      <c r="D42" s="125"/>
      <c r="E42" s="124">
        <v>0</v>
      </c>
      <c r="F42" s="124"/>
      <c r="G42" s="125"/>
      <c r="H42" s="124">
        <v>14</v>
      </c>
      <c r="I42" s="124"/>
      <c r="J42" s="125"/>
      <c r="K42" s="124">
        <v>-25</v>
      </c>
      <c r="L42" s="124"/>
      <c r="M42" s="125"/>
      <c r="N42" s="124">
        <f t="shared" si="1"/>
        <v>-6</v>
      </c>
      <c r="O42" s="124">
        <f t="shared" si="1"/>
        <v>0</v>
      </c>
      <c r="P42" s="124"/>
      <c r="Q42" s="124">
        <v>620</v>
      </c>
      <c r="R42" s="124"/>
      <c r="S42" s="125"/>
      <c r="T42" s="125"/>
      <c r="U42" s="124"/>
      <c r="V42" s="124"/>
      <c r="W42" s="124"/>
      <c r="X42" s="125"/>
      <c r="Y42" s="125"/>
      <c r="Z42" s="124"/>
      <c r="AA42" s="125"/>
      <c r="AB42" s="125"/>
      <c r="AC42" s="124"/>
      <c r="AD42" s="124"/>
      <c r="AE42" s="124"/>
      <c r="AF42" s="124"/>
      <c r="AG42" s="124">
        <v>108184</v>
      </c>
      <c r="AH42" s="124"/>
      <c r="AI42" s="124"/>
      <c r="AJ42" s="124">
        <v>2793</v>
      </c>
      <c r="AK42" s="124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238" ht="17.649999999999999" customHeight="1" x14ac:dyDescent="0.3">
      <c r="A43" s="122" t="s">
        <v>37</v>
      </c>
      <c r="B43" s="124">
        <v>77</v>
      </c>
      <c r="C43" s="124"/>
      <c r="D43" s="125"/>
      <c r="E43" s="124">
        <v>0</v>
      </c>
      <c r="F43" s="124"/>
      <c r="G43" s="125"/>
      <c r="H43" s="124">
        <v>5</v>
      </c>
      <c r="I43" s="124"/>
      <c r="J43" s="125"/>
      <c r="K43" s="124">
        <v>0</v>
      </c>
      <c r="L43" s="124"/>
      <c r="M43" s="125"/>
      <c r="N43" s="124">
        <f t="shared" si="1"/>
        <v>82</v>
      </c>
      <c r="O43" s="124">
        <v>0</v>
      </c>
      <c r="P43" s="124"/>
      <c r="Q43" s="124">
        <v>1588</v>
      </c>
      <c r="R43" s="124"/>
      <c r="S43" s="125"/>
      <c r="T43" s="125"/>
      <c r="U43" s="124">
        <v>0</v>
      </c>
      <c r="V43" s="124"/>
      <c r="W43" s="124">
        <v>0</v>
      </c>
      <c r="X43" s="125"/>
      <c r="Y43" s="125"/>
      <c r="Z43" s="124">
        <v>0</v>
      </c>
      <c r="AA43" s="125"/>
      <c r="AB43" s="125"/>
      <c r="AC43" s="124">
        <v>0</v>
      </c>
      <c r="AD43" s="124"/>
      <c r="AE43" s="124">
        <v>0</v>
      </c>
      <c r="AF43" s="124">
        <v>0</v>
      </c>
      <c r="AG43" s="124">
        <v>77809</v>
      </c>
      <c r="AH43" s="124"/>
      <c r="AI43" s="124"/>
      <c r="AJ43" s="124">
        <v>4199</v>
      </c>
      <c r="AK43" s="124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</row>
    <row r="44" spans="1:238" ht="17.649999999999999" customHeight="1" x14ac:dyDescent="0.3">
      <c r="A44" s="122" t="s">
        <v>38</v>
      </c>
      <c r="B44" s="124">
        <v>6</v>
      </c>
      <c r="C44" s="124"/>
      <c r="D44" s="125"/>
      <c r="E44" s="124">
        <v>0</v>
      </c>
      <c r="F44" s="124"/>
      <c r="G44" s="125"/>
      <c r="H44" s="124">
        <v>9</v>
      </c>
      <c r="I44" s="124"/>
      <c r="J44" s="125"/>
      <c r="K44" s="124">
        <v>0</v>
      </c>
      <c r="L44" s="124"/>
      <c r="M44" s="125"/>
      <c r="N44" s="124">
        <f t="shared" si="1"/>
        <v>15</v>
      </c>
      <c r="O44" s="124">
        <f t="shared" si="1"/>
        <v>0</v>
      </c>
      <c r="P44" s="124"/>
      <c r="Q44" s="124">
        <v>2373</v>
      </c>
      <c r="R44" s="124"/>
      <c r="S44" s="125"/>
      <c r="T44" s="125"/>
      <c r="U44" s="124">
        <v>0</v>
      </c>
      <c r="V44" s="124"/>
      <c r="W44" s="124">
        <f>ROUND(U44*[2]Manual_Input!K50,6)</f>
        <v>0</v>
      </c>
      <c r="X44" s="125"/>
      <c r="Y44" s="125"/>
      <c r="Z44" s="124">
        <v>0</v>
      </c>
      <c r="AA44" s="125"/>
      <c r="AB44" s="125"/>
      <c r="AC44" s="124">
        <f>ROUND(Z44*[2]Manual_Input!K50,6)</f>
        <v>0</v>
      </c>
      <c r="AD44" s="124"/>
      <c r="AE44" s="124">
        <v>0</v>
      </c>
      <c r="AF44" s="124">
        <f>ROUND(AE44*[2]Manual_Input!K50,6)</f>
        <v>0</v>
      </c>
      <c r="AG44" s="124">
        <v>81912</v>
      </c>
      <c r="AH44" s="124"/>
      <c r="AI44" s="124"/>
      <c r="AJ44" s="124">
        <v>4521</v>
      </c>
      <c r="AK44" s="124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238" ht="17.649999999999999" customHeight="1" x14ac:dyDescent="0.3">
      <c r="A45" s="122" t="s">
        <v>39</v>
      </c>
      <c r="B45" s="124">
        <v>5</v>
      </c>
      <c r="C45" s="124"/>
      <c r="D45" s="125"/>
      <c r="E45" s="124">
        <v>0</v>
      </c>
      <c r="F45" s="124"/>
      <c r="G45" s="125"/>
      <c r="H45" s="124">
        <v>12</v>
      </c>
      <c r="I45" s="124"/>
      <c r="J45" s="125"/>
      <c r="K45" s="124">
        <v>0</v>
      </c>
      <c r="L45" s="124"/>
      <c r="M45" s="125"/>
      <c r="N45" s="124">
        <f t="shared" si="1"/>
        <v>17</v>
      </c>
      <c r="O45" s="124">
        <f t="shared" si="1"/>
        <v>0</v>
      </c>
      <c r="P45" s="124"/>
      <c r="Q45" s="124">
        <v>2224</v>
      </c>
      <c r="R45" s="124"/>
      <c r="S45" s="125"/>
      <c r="T45" s="125"/>
      <c r="U45" s="124">
        <v>0</v>
      </c>
      <c r="V45" s="124"/>
      <c r="W45" s="124">
        <f>ROUND(U45*[2]Manual_Input!K51,6)</f>
        <v>0</v>
      </c>
      <c r="X45" s="125"/>
      <c r="Y45" s="125"/>
      <c r="Z45" s="124">
        <v>0</v>
      </c>
      <c r="AA45" s="125"/>
      <c r="AB45" s="125"/>
      <c r="AC45" s="124">
        <f>ROUND(Z45*[2]Manual_Input!K51,6)</f>
        <v>0</v>
      </c>
      <c r="AD45" s="124"/>
      <c r="AE45" s="124">
        <v>0</v>
      </c>
      <c r="AF45" s="124">
        <f>ROUND(AE45*[2]Manual_Input!K51,6)</f>
        <v>0</v>
      </c>
      <c r="AG45" s="124">
        <v>75480</v>
      </c>
      <c r="AH45" s="124"/>
      <c r="AI45" s="124"/>
      <c r="AJ45" s="124">
        <v>3886</v>
      </c>
      <c r="AK45" s="124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</row>
    <row r="46" spans="1:238" ht="17.649999999999999" customHeight="1" x14ac:dyDescent="0.3">
      <c r="A46" s="122" t="s">
        <v>40</v>
      </c>
      <c r="B46" s="124">
        <v>7</v>
      </c>
      <c r="C46" s="124"/>
      <c r="D46" s="125"/>
      <c r="E46" s="124">
        <v>0</v>
      </c>
      <c r="F46" s="124"/>
      <c r="G46" s="125"/>
      <c r="H46" s="124">
        <v>7</v>
      </c>
      <c r="I46" s="124"/>
      <c r="J46" s="125"/>
      <c r="K46" s="124">
        <v>0</v>
      </c>
      <c r="L46" s="124"/>
      <c r="M46" s="125"/>
      <c r="N46" s="124">
        <f t="shared" si="1"/>
        <v>14</v>
      </c>
      <c r="O46" s="124">
        <f t="shared" si="1"/>
        <v>0</v>
      </c>
      <c r="P46" s="124"/>
      <c r="Q46" s="124">
        <v>2449</v>
      </c>
      <c r="R46" s="124"/>
      <c r="S46" s="125"/>
      <c r="T46" s="125"/>
      <c r="U46" s="124">
        <v>0</v>
      </c>
      <c r="V46" s="124"/>
      <c r="W46" s="124">
        <f>ROUND(U46*[2]Manual_Input!K52,6)</f>
        <v>0</v>
      </c>
      <c r="X46" s="125"/>
      <c r="Y46" s="125"/>
      <c r="Z46" s="124">
        <v>0</v>
      </c>
      <c r="AA46" s="125"/>
      <c r="AB46" s="125"/>
      <c r="AC46" s="124">
        <f>ROUND(Z46*[2]Manual_Input!K52,6)</f>
        <v>0</v>
      </c>
      <c r="AD46" s="124"/>
      <c r="AE46" s="124">
        <v>0</v>
      </c>
      <c r="AF46" s="124">
        <f>ROUND(AE46*[2]Manual_Input!K52,6)</f>
        <v>0</v>
      </c>
      <c r="AG46" s="124">
        <v>95984</v>
      </c>
      <c r="AH46" s="124"/>
      <c r="AI46" s="124"/>
      <c r="AJ46" s="124">
        <v>5898</v>
      </c>
      <c r="AK46" s="124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238" ht="17.649999999999999" customHeight="1" x14ac:dyDescent="0.3">
      <c r="A47" s="122" t="s">
        <v>41</v>
      </c>
      <c r="B47" s="124">
        <f>[2]ActualDeliveries!F$16</f>
        <v>10</v>
      </c>
      <c r="C47" s="124"/>
      <c r="D47" s="125"/>
      <c r="E47" s="124">
        <f>[2]ActualDeliveries!F$17</f>
        <v>0</v>
      </c>
      <c r="F47" s="124"/>
      <c r="G47" s="125"/>
      <c r="H47" s="124">
        <f>[2]ActualDeliveries!F$18</f>
        <v>7</v>
      </c>
      <c r="I47" s="124"/>
      <c r="J47" s="125"/>
      <c r="K47" s="124">
        <f>[2]ActualDeliveries!F$19</f>
        <v>0</v>
      </c>
      <c r="L47" s="124"/>
      <c r="M47" s="125"/>
      <c r="N47" s="124">
        <f t="shared" si="1"/>
        <v>17</v>
      </c>
      <c r="O47" s="124">
        <f t="shared" si="1"/>
        <v>0</v>
      </c>
      <c r="P47" s="124"/>
      <c r="Q47" s="124">
        <f>[2]ActualDeliveries!F$24</f>
        <v>1747</v>
      </c>
      <c r="R47" s="124"/>
      <c r="S47" s="125"/>
      <c r="T47" s="125"/>
      <c r="U47" s="124">
        <v>0</v>
      </c>
      <c r="V47" s="124"/>
      <c r="W47" s="124">
        <f>ROUND(U47*[2]Manual_Input!K53,6)</f>
        <v>0</v>
      </c>
      <c r="X47" s="125"/>
      <c r="Y47" s="125"/>
      <c r="Z47" s="124">
        <v>0</v>
      </c>
      <c r="AA47" s="125"/>
      <c r="AB47" s="125"/>
      <c r="AC47" s="124">
        <f>ROUND(Z47*[2]Manual_Input!K53,6)</f>
        <v>0</v>
      </c>
      <c r="AD47" s="124"/>
      <c r="AE47" s="124">
        <v>0</v>
      </c>
      <c r="AF47" s="124">
        <f>ROUND(AE47*[2]Manual_Input!K53,6)</f>
        <v>0</v>
      </c>
      <c r="AG47" s="124">
        <f>[2]ActualDeliveries!F$28</f>
        <v>69644</v>
      </c>
      <c r="AH47" s="124"/>
      <c r="AI47" s="124"/>
      <c r="AJ47" s="124">
        <f>[2]ActualDeliveries!F$32</f>
        <v>2904</v>
      </c>
      <c r="AK47" s="124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238" ht="17.649999999999999" customHeight="1" x14ac:dyDescent="0.3">
      <c r="A48" s="122" t="s">
        <v>42</v>
      </c>
      <c r="B48" s="124">
        <f t="shared" ref="B48:B55" si="2">+B$58</f>
        <v>6.5714285714285712</v>
      </c>
      <c r="C48" s="124"/>
      <c r="D48" s="125"/>
      <c r="E48" s="124">
        <v>0</v>
      </c>
      <c r="F48" s="124"/>
      <c r="G48" s="125"/>
      <c r="H48" s="124">
        <f t="shared" ref="H48:H56" si="3">+H$58</f>
        <v>9.8571428571428577</v>
      </c>
      <c r="I48" s="124"/>
      <c r="J48" s="125"/>
      <c r="K48" s="124">
        <v>0</v>
      </c>
      <c r="L48" s="124"/>
      <c r="M48" s="125"/>
      <c r="N48" s="124">
        <f t="shared" si="1"/>
        <v>16.428571428571431</v>
      </c>
      <c r="O48" s="124">
        <f t="shared" si="1"/>
        <v>0</v>
      </c>
      <c r="P48" s="124"/>
      <c r="Q48" s="124">
        <f t="shared" ref="Q48:Q56" si="4">+Q$58</f>
        <v>1651.1428571428571</v>
      </c>
      <c r="R48" s="124"/>
      <c r="S48" s="125"/>
      <c r="T48" s="125"/>
      <c r="U48" s="124">
        <v>0</v>
      </c>
      <c r="V48" s="124"/>
      <c r="W48" s="124">
        <f>ROUND(U48*[2]Manual_Input!K54,6)</f>
        <v>0</v>
      </c>
      <c r="X48" s="125"/>
      <c r="Y48" s="125"/>
      <c r="Z48" s="124">
        <v>0</v>
      </c>
      <c r="AA48" s="125"/>
      <c r="AB48" s="125"/>
      <c r="AC48" s="124">
        <f>ROUND(Z48*[2]Manual_Input!K54,6)</f>
        <v>0</v>
      </c>
      <c r="AD48" s="124"/>
      <c r="AE48" s="124">
        <v>0</v>
      </c>
      <c r="AF48" s="124">
        <f>ROUND(AE48*[2]Manual_Input!K54,6)</f>
        <v>0</v>
      </c>
      <c r="AG48" s="124">
        <f t="shared" ref="AG48:AG56" si="5">+AG$58</f>
        <v>80723.71428571429</v>
      </c>
      <c r="AH48" s="124"/>
      <c r="AI48" s="124"/>
      <c r="AJ48" s="124">
        <f t="shared" ref="AJ48:AJ56" si="6">+AJ$58</f>
        <v>3730.2857142857142</v>
      </c>
      <c r="AK48" s="124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</row>
    <row r="49" spans="1:238" ht="17.649999999999999" customHeight="1" x14ac:dyDescent="0.3">
      <c r="A49" s="122" t="s">
        <v>43</v>
      </c>
      <c r="B49" s="124">
        <f t="shared" si="2"/>
        <v>6.5714285714285712</v>
      </c>
      <c r="C49" s="124">
        <f>ROUND(B49*[2]Manual_Input!K55,6)</f>
        <v>6.4189489999999996</v>
      </c>
      <c r="D49" s="125"/>
      <c r="E49" s="124">
        <v>0</v>
      </c>
      <c r="F49" s="124">
        <f>ROUND(E49*[2]Manual_Input!K55,6)</f>
        <v>0</v>
      </c>
      <c r="G49" s="125"/>
      <c r="H49" s="124">
        <f t="shared" si="3"/>
        <v>9.8571428571428577</v>
      </c>
      <c r="I49" s="124">
        <f>ROUND(H49*[2]Manual_Input!K55,6)</f>
        <v>9.6284229999999997</v>
      </c>
      <c r="J49" s="125"/>
      <c r="K49" s="124">
        <v>0</v>
      </c>
      <c r="L49" s="124">
        <f>ROUND(K49*[2]Manual_Input!K55,6)</f>
        <v>0</v>
      </c>
      <c r="M49" s="125"/>
      <c r="N49" s="124">
        <f t="shared" si="1"/>
        <v>16.428571428571431</v>
      </c>
      <c r="O49" s="124">
        <f t="shared" si="1"/>
        <v>16.047371999999999</v>
      </c>
      <c r="P49" s="124"/>
      <c r="Q49" s="124">
        <f t="shared" si="4"/>
        <v>1651.1428571428571</v>
      </c>
      <c r="R49" s="124">
        <f>ROUND(Q49*[2]Manual_Input!K55,6)</f>
        <v>1612.830696</v>
      </c>
      <c r="S49" s="125"/>
      <c r="T49" s="125"/>
      <c r="U49" s="124">
        <v>0</v>
      </c>
      <c r="V49" s="124"/>
      <c r="W49" s="124">
        <f>ROUND(U49*[2]Manual_Input!K55,6)</f>
        <v>0</v>
      </c>
      <c r="X49" s="125"/>
      <c r="Y49" s="125"/>
      <c r="Z49" s="124">
        <v>0</v>
      </c>
      <c r="AA49" s="125"/>
      <c r="AB49" s="125"/>
      <c r="AC49" s="124">
        <f>ROUND(Z49*[2]Manual_Input!K55,6)</f>
        <v>0</v>
      </c>
      <c r="AD49" s="124"/>
      <c r="AE49" s="124">
        <v>0</v>
      </c>
      <c r="AF49" s="124">
        <f>ROUND(AE49*[2]Manual_Input!K55,6)</f>
        <v>0</v>
      </c>
      <c r="AG49" s="124">
        <f t="shared" si="5"/>
        <v>80723.71428571429</v>
      </c>
      <c r="AH49" s="124">
        <f>ROUND(AG49*[2]Manual_Input!K55,6)</f>
        <v>78850.648042000001</v>
      </c>
      <c r="AI49" s="124"/>
      <c r="AJ49" s="124">
        <f t="shared" si="6"/>
        <v>3730.2857142857142</v>
      </c>
      <c r="AK49" s="124">
        <f>ROUND(AJ49*[2]Manual_Input!K55,6)</f>
        <v>3643.7303280000001</v>
      </c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238" ht="17.649999999999999" customHeight="1" x14ac:dyDescent="0.3">
      <c r="A50" s="122" t="s">
        <v>44</v>
      </c>
      <c r="B50" s="124">
        <f t="shared" si="2"/>
        <v>6.5714285714285712</v>
      </c>
      <c r="C50" s="124">
        <f>ROUND(B50*[2]Manual_Input!K56,6)</f>
        <v>6.2700069999999997</v>
      </c>
      <c r="D50" s="125"/>
      <c r="E50" s="124">
        <v>0</v>
      </c>
      <c r="F50" s="124">
        <f>ROUND(E50*[2]Manual_Input!K56,6)</f>
        <v>0</v>
      </c>
      <c r="G50" s="125"/>
      <c r="H50" s="124">
        <f t="shared" si="3"/>
        <v>9.8571428571428577</v>
      </c>
      <c r="I50" s="124">
        <f>ROUND(H50*[2]Manual_Input!K56,6)</f>
        <v>9.405011</v>
      </c>
      <c r="J50" s="125"/>
      <c r="K50" s="124">
        <v>0</v>
      </c>
      <c r="L50" s="124">
        <f>ROUND(K50*[2]Manual_Input!K56,6)</f>
        <v>0</v>
      </c>
      <c r="M50" s="125"/>
      <c r="N50" s="124">
        <f t="shared" si="1"/>
        <v>16.428571428571431</v>
      </c>
      <c r="O50" s="124">
        <f t="shared" si="1"/>
        <v>15.675018</v>
      </c>
      <c r="P50" s="124"/>
      <c r="Q50" s="124">
        <f t="shared" si="4"/>
        <v>1651.1428571428571</v>
      </c>
      <c r="R50" s="124">
        <f>ROUND(Q50*[2]Manual_Input!K56,6)</f>
        <v>1575.407508</v>
      </c>
      <c r="S50" s="125"/>
      <c r="T50" s="125"/>
      <c r="U50" s="124">
        <v>0</v>
      </c>
      <c r="V50" s="124"/>
      <c r="W50" s="124">
        <f>ROUND(U50*[2]Manual_Input!K56,6)</f>
        <v>0</v>
      </c>
      <c r="X50" s="125"/>
      <c r="Y50" s="125"/>
      <c r="Z50" s="124">
        <v>0</v>
      </c>
      <c r="AA50" s="125"/>
      <c r="AB50" s="125"/>
      <c r="AC50" s="124">
        <f>ROUND(Z50*[2]Manual_Input!K56,6)</f>
        <v>0</v>
      </c>
      <c r="AD50" s="124"/>
      <c r="AE50" s="124">
        <v>0</v>
      </c>
      <c r="AF50" s="124">
        <f>ROUND(AE50*[2]Manual_Input!K56,6)</f>
        <v>0</v>
      </c>
      <c r="AG50" s="124">
        <f t="shared" si="5"/>
        <v>80723.71428571429</v>
      </c>
      <c r="AH50" s="124">
        <f>ROUND(AG50*[2]Manual_Input!K56,6)</f>
        <v>77021.043342000004</v>
      </c>
      <c r="AI50" s="124"/>
      <c r="AJ50" s="124">
        <f t="shared" si="6"/>
        <v>3730.2857142857142</v>
      </c>
      <c r="AK50" s="124">
        <f>ROUND(AJ50*[2]Manual_Input!K56,6)</f>
        <v>3559.1833230000002</v>
      </c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238" ht="17.649999999999999" customHeight="1" x14ac:dyDescent="0.3">
      <c r="A51" s="122" t="s">
        <v>45</v>
      </c>
      <c r="B51" s="124">
        <f t="shared" si="2"/>
        <v>6.5714285714285712</v>
      </c>
      <c r="C51" s="124">
        <f>ROUND(B51*[2]Manual_Input!K57,6)</f>
        <v>6.1245219999999998</v>
      </c>
      <c r="D51" s="125"/>
      <c r="E51" s="124">
        <f t="shared" ref="E51:E56" si="7">+E$58</f>
        <v>14</v>
      </c>
      <c r="F51" s="124">
        <f>ROUND(E51*[2]Manual_Input!K57,6)</f>
        <v>13.047893999999999</v>
      </c>
      <c r="G51" s="125"/>
      <c r="H51" s="124">
        <f t="shared" si="3"/>
        <v>9.8571428571428577</v>
      </c>
      <c r="I51" s="124">
        <f>ROUND(H51*[2]Manual_Input!K57,6)</f>
        <v>9.1867830000000001</v>
      </c>
      <c r="J51" s="125"/>
      <c r="K51" s="124">
        <f t="shared" ref="K51:K56" si="8">+K$58</f>
        <v>4</v>
      </c>
      <c r="L51" s="124">
        <f>ROUND(K51*[2]Manual_Input!K57,6)</f>
        <v>3.72797</v>
      </c>
      <c r="M51" s="125"/>
      <c r="N51" s="124">
        <f t="shared" si="1"/>
        <v>34.428571428571431</v>
      </c>
      <c r="O51" s="124">
        <f t="shared" si="1"/>
        <v>32.087168999999996</v>
      </c>
      <c r="P51" s="124"/>
      <c r="Q51" s="124">
        <f t="shared" si="4"/>
        <v>1651.1428571428571</v>
      </c>
      <c r="R51" s="124">
        <f>ROUND(Q51*[2]Manual_Input!K57,6)</f>
        <v>1538.852666</v>
      </c>
      <c r="S51" s="125"/>
      <c r="T51" s="125"/>
      <c r="U51" s="124">
        <v>0</v>
      </c>
      <c r="V51" s="124"/>
      <c r="W51" s="124">
        <f>ROUND(U51*[2]Manual_Input!K57,6)</f>
        <v>0</v>
      </c>
      <c r="X51" s="125"/>
      <c r="Y51" s="125"/>
      <c r="Z51" s="124">
        <v>0</v>
      </c>
      <c r="AA51" s="125"/>
      <c r="AB51" s="125"/>
      <c r="AC51" s="124">
        <f>ROUND(Z51*[2]Manual_Input!K57,6)</f>
        <v>0</v>
      </c>
      <c r="AD51" s="124"/>
      <c r="AE51" s="124">
        <v>0</v>
      </c>
      <c r="AF51" s="124">
        <f>ROUND(AE51*[2]Manual_Input!K57,6)</f>
        <v>0</v>
      </c>
      <c r="AG51" s="124">
        <f t="shared" si="5"/>
        <v>80723.71428571429</v>
      </c>
      <c r="AH51" s="124">
        <f>ROUND(AG51*[2]Manual_Input!K57,6)</f>
        <v>75233.891726999995</v>
      </c>
      <c r="AI51" s="124"/>
      <c r="AJ51" s="124">
        <f t="shared" si="6"/>
        <v>3730.2857142857142</v>
      </c>
      <c r="AK51" s="124">
        <f>ROUND(AJ51*[2]Manual_Input!K57,6)</f>
        <v>3476.5980979999999</v>
      </c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238" ht="17.649999999999999" customHeight="1" x14ac:dyDescent="0.3">
      <c r="A52" s="122" t="s">
        <v>46</v>
      </c>
      <c r="B52" s="124">
        <f t="shared" si="2"/>
        <v>6.5714285714285712</v>
      </c>
      <c r="C52" s="124">
        <f>ROUND(B52*[2]Manual_Input!K58,6)</f>
        <v>5.9824120000000001</v>
      </c>
      <c r="D52" s="125"/>
      <c r="E52" s="124">
        <f t="shared" si="7"/>
        <v>14</v>
      </c>
      <c r="F52" s="124">
        <f>ROUND(E52*[2]Manual_Input!K58,6)</f>
        <v>12.745138000000001</v>
      </c>
      <c r="G52" s="125"/>
      <c r="H52" s="124">
        <f t="shared" si="3"/>
        <v>9.8571428571428577</v>
      </c>
      <c r="I52" s="124">
        <f>ROUND(H52*[2]Manual_Input!K58,6)</f>
        <v>8.9736180000000001</v>
      </c>
      <c r="J52" s="125"/>
      <c r="K52" s="124">
        <f t="shared" si="8"/>
        <v>4</v>
      </c>
      <c r="L52" s="124">
        <f>ROUND(K52*[2]Manual_Input!K58,6)</f>
        <v>3.6414680000000001</v>
      </c>
      <c r="M52" s="125"/>
      <c r="N52" s="124">
        <f t="shared" si="1"/>
        <v>34.428571428571431</v>
      </c>
      <c r="O52" s="124">
        <f t="shared" si="1"/>
        <v>31.342636000000002</v>
      </c>
      <c r="P52" s="124"/>
      <c r="Q52" s="124">
        <f t="shared" si="4"/>
        <v>1651.1428571428571</v>
      </c>
      <c r="R52" s="124">
        <f>ROUND(Q52*[2]Manual_Input!K58,6)</f>
        <v>1503.146021</v>
      </c>
      <c r="S52" s="125"/>
      <c r="T52" s="125"/>
      <c r="U52" s="124">
        <v>0</v>
      </c>
      <c r="V52" s="124"/>
      <c r="W52" s="124">
        <f>ROUND(U52*[2]Manual_Input!K58,6)</f>
        <v>0</v>
      </c>
      <c r="X52" s="125"/>
      <c r="Y52" s="125"/>
      <c r="Z52" s="124">
        <v>0</v>
      </c>
      <c r="AA52" s="125"/>
      <c r="AB52" s="125"/>
      <c r="AC52" s="124">
        <f>ROUND(Z52*[2]Manual_Input!K58,6)</f>
        <v>0</v>
      </c>
      <c r="AD52" s="124"/>
      <c r="AE52" s="124">
        <v>0</v>
      </c>
      <c r="AF52" s="124">
        <f>ROUND(AE52*[2]Manual_Input!K58,6)</f>
        <v>0</v>
      </c>
      <c r="AG52" s="124">
        <f t="shared" si="5"/>
        <v>80723.71428571429</v>
      </c>
      <c r="AH52" s="124">
        <f>ROUND(AG52*[2]Manual_Input!K58,6)</f>
        <v>73488.208142000003</v>
      </c>
      <c r="AI52" s="124"/>
      <c r="AJ52" s="124">
        <f t="shared" si="6"/>
        <v>3730.2857142857142</v>
      </c>
      <c r="AK52" s="124">
        <f>ROUND(AJ52*[2]Manual_Input!K58,6)</f>
        <v>3395.9291320000002</v>
      </c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238" ht="17.649999999999999" customHeight="1" x14ac:dyDescent="0.3">
      <c r="A53" s="122" t="s">
        <v>47</v>
      </c>
      <c r="B53" s="124">
        <f t="shared" si="2"/>
        <v>6.5714285714285712</v>
      </c>
      <c r="C53" s="124">
        <f>ROUND(B53*[2]Manual_Input!K59,6)</f>
        <v>5.8436000000000003</v>
      </c>
      <c r="D53" s="125"/>
      <c r="E53" s="124">
        <f t="shared" si="7"/>
        <v>14</v>
      </c>
      <c r="F53" s="124">
        <f>ROUND(E53*[2]Manual_Input!K59,6)</f>
        <v>12.449408</v>
      </c>
      <c r="G53" s="125"/>
      <c r="H53" s="124">
        <f t="shared" si="3"/>
        <v>9.8571428571428577</v>
      </c>
      <c r="I53" s="124">
        <f>ROUND(H53*[2]Manual_Input!K59,6)</f>
        <v>8.7653990000000004</v>
      </c>
      <c r="J53" s="125"/>
      <c r="K53" s="124">
        <f t="shared" si="8"/>
        <v>4</v>
      </c>
      <c r="L53" s="124">
        <f>ROUND(K53*[2]Manual_Input!K59,6)</f>
        <v>3.5569739999999999</v>
      </c>
      <c r="M53" s="125"/>
      <c r="N53" s="124">
        <f t="shared" si="1"/>
        <v>34.428571428571431</v>
      </c>
      <c r="O53" s="124">
        <f t="shared" si="1"/>
        <v>30.615381000000003</v>
      </c>
      <c r="P53" s="124"/>
      <c r="Q53" s="124">
        <f t="shared" si="4"/>
        <v>1651.1428571428571</v>
      </c>
      <c r="R53" s="124">
        <f>ROUND(Q53*[2]Manual_Input!K59,6)</f>
        <v>1468.267893</v>
      </c>
      <c r="S53" s="125"/>
      <c r="T53" s="125"/>
      <c r="U53" s="124">
        <v>0</v>
      </c>
      <c r="V53" s="124"/>
      <c r="W53" s="124">
        <f>ROUND(U53*[2]Manual_Input!K59,6)</f>
        <v>0</v>
      </c>
      <c r="X53" s="125"/>
      <c r="Y53" s="125"/>
      <c r="Z53" s="124">
        <v>0</v>
      </c>
      <c r="AA53" s="125"/>
      <c r="AB53" s="125"/>
      <c r="AC53" s="124">
        <f>ROUND(Z53*[2]Manual_Input!K59,6)</f>
        <v>0</v>
      </c>
      <c r="AD53" s="124"/>
      <c r="AE53" s="124">
        <v>0</v>
      </c>
      <c r="AF53" s="124">
        <f>ROUND(AE53*[2]Manual_Input!K59,6)</f>
        <v>0</v>
      </c>
      <c r="AG53" s="124">
        <f t="shared" si="5"/>
        <v>80723.71428571429</v>
      </c>
      <c r="AH53" s="124">
        <f>ROUND(AG53*[2]Manual_Input!K59,6)</f>
        <v>71783.030385999999</v>
      </c>
      <c r="AI53" s="124"/>
      <c r="AJ53" s="124">
        <f t="shared" si="6"/>
        <v>3730.2857142857142</v>
      </c>
      <c r="AK53" s="124">
        <f>ROUND(AJ53*[2]Manual_Input!K59,6)</f>
        <v>3317.1319619999999</v>
      </c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238" ht="17.649999999999999" customHeight="1" x14ac:dyDescent="0.3">
      <c r="A54" s="122" t="s">
        <v>48</v>
      </c>
      <c r="B54" s="124">
        <f t="shared" si="2"/>
        <v>6.5714285714285712</v>
      </c>
      <c r="C54" s="124">
        <f>ROUND(B54*[2]Manual_Input!K60,6)</f>
        <v>5.7080080000000004</v>
      </c>
      <c r="D54" s="125"/>
      <c r="E54" s="124">
        <f t="shared" si="7"/>
        <v>14</v>
      </c>
      <c r="F54" s="124">
        <f>ROUND(E54*[2]Manual_Input!K60,6)</f>
        <v>12.160539</v>
      </c>
      <c r="G54" s="125"/>
      <c r="H54" s="124">
        <f t="shared" si="3"/>
        <v>9.8571428571428577</v>
      </c>
      <c r="I54" s="124">
        <f>ROUND(H54*[2]Manual_Input!K60,6)</f>
        <v>8.5620119999999993</v>
      </c>
      <c r="J54" s="125"/>
      <c r="K54" s="124">
        <f t="shared" si="8"/>
        <v>4</v>
      </c>
      <c r="L54" s="124">
        <f>ROUND(K54*[2]Manual_Input!K60,6)</f>
        <v>3.47444</v>
      </c>
      <c r="M54" s="125"/>
      <c r="N54" s="124">
        <f t="shared" si="1"/>
        <v>34.428571428571431</v>
      </c>
      <c r="O54" s="124">
        <f t="shared" si="1"/>
        <v>29.904999</v>
      </c>
      <c r="P54" s="124"/>
      <c r="Q54" s="124">
        <f t="shared" si="4"/>
        <v>1651.1428571428571</v>
      </c>
      <c r="R54" s="124">
        <f>ROUND(Q54*[2]Manual_Input!K60,6)</f>
        <v>1434.1990559999999</v>
      </c>
      <c r="S54" s="125"/>
      <c r="T54" s="125"/>
      <c r="U54" s="124">
        <v>0</v>
      </c>
      <c r="V54" s="124"/>
      <c r="W54" s="124">
        <f>ROUND(U54*[2]Manual_Input!K60,6)</f>
        <v>0</v>
      </c>
      <c r="X54" s="125"/>
      <c r="Y54" s="125"/>
      <c r="Z54" s="124">
        <v>0</v>
      </c>
      <c r="AA54" s="125"/>
      <c r="AB54" s="125"/>
      <c r="AC54" s="124">
        <f>ROUND(Z54*[2]Manual_Input!K60,6)</f>
        <v>0</v>
      </c>
      <c r="AD54" s="124"/>
      <c r="AE54" s="124">
        <v>0</v>
      </c>
      <c r="AF54" s="124">
        <f>ROUND(AE54*[2]Manual_Input!K60,6)</f>
        <v>0</v>
      </c>
      <c r="AG54" s="124">
        <f t="shared" si="5"/>
        <v>80723.71428571429</v>
      </c>
      <c r="AH54" s="124">
        <f>ROUND(AG54*[2]Manual_Input!K60,6)</f>
        <v>70117.418586</v>
      </c>
      <c r="AI54" s="124"/>
      <c r="AJ54" s="124">
        <f t="shared" si="6"/>
        <v>3730.2857142857142</v>
      </c>
      <c r="AK54" s="124">
        <f>ROUND(AJ54*[2]Manual_Input!K60,6)</f>
        <v>3240.1631560000001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238" ht="17.649999999999999" customHeight="1" x14ac:dyDescent="0.3">
      <c r="A55" s="122" t="s">
        <v>49</v>
      </c>
      <c r="B55" s="124">
        <f t="shared" si="2"/>
        <v>6.5714285714285712</v>
      </c>
      <c r="C55" s="124">
        <f>ROUND(B55*[2]Manual_Input!K61,6)</f>
        <v>5.5755629999999998</v>
      </c>
      <c r="D55" s="125"/>
      <c r="E55" s="124">
        <f t="shared" si="7"/>
        <v>14</v>
      </c>
      <c r="F55" s="124">
        <f>ROUND(E55*[2]Manual_Input!K61,6)</f>
        <v>11.878373</v>
      </c>
      <c r="G55" s="125"/>
      <c r="H55" s="124">
        <f t="shared" si="3"/>
        <v>9.8571428571428577</v>
      </c>
      <c r="I55" s="124">
        <f>ROUND(H55*[2]Manual_Input!K61,6)</f>
        <v>8.3633439999999997</v>
      </c>
      <c r="J55" s="125"/>
      <c r="K55" s="124">
        <f t="shared" si="8"/>
        <v>4</v>
      </c>
      <c r="L55" s="124">
        <f>ROUND(K55*[2]Manual_Input!K61,6)</f>
        <v>3.393821</v>
      </c>
      <c r="M55" s="125"/>
      <c r="N55" s="124">
        <f t="shared" si="1"/>
        <v>34.428571428571431</v>
      </c>
      <c r="O55" s="124">
        <f t="shared" si="1"/>
        <v>29.211100999999996</v>
      </c>
      <c r="P55" s="124"/>
      <c r="Q55" s="124">
        <f t="shared" si="4"/>
        <v>1651.1428571428571</v>
      </c>
      <c r="R55" s="124">
        <f>ROUND(Q55*[2]Manual_Input!K61,6)</f>
        <v>1400.9207329999999</v>
      </c>
      <c r="S55" s="125"/>
      <c r="T55" s="125"/>
      <c r="U55" s="124">
        <v>0</v>
      </c>
      <c r="V55" s="124"/>
      <c r="W55" s="124">
        <f>ROUND(U55*[2]Manual_Input!K61,6)</f>
        <v>0</v>
      </c>
      <c r="X55" s="125"/>
      <c r="Y55" s="125"/>
      <c r="Z55" s="124">
        <v>0</v>
      </c>
      <c r="AA55" s="125"/>
      <c r="AB55" s="125"/>
      <c r="AC55" s="124">
        <f>ROUND(Z55*[2]Manual_Input!K61,6)</f>
        <v>0</v>
      </c>
      <c r="AD55" s="124"/>
      <c r="AE55" s="124">
        <v>0</v>
      </c>
      <c r="AF55" s="124">
        <f>ROUND(AE55*[2]Manual_Input!K61,6)</f>
        <v>0</v>
      </c>
      <c r="AG55" s="124">
        <f t="shared" si="5"/>
        <v>80723.71428571429</v>
      </c>
      <c r="AH55" s="124">
        <f>ROUND(AG55*[2]Manual_Input!K61,6)</f>
        <v>68490.454675999994</v>
      </c>
      <c r="AI55" s="124"/>
      <c r="AJ55" s="124">
        <f t="shared" si="6"/>
        <v>3730.2857142857142</v>
      </c>
      <c r="AK55" s="124">
        <f>ROUND(AJ55*[2]Manual_Input!K61,6)</f>
        <v>3164.98029</v>
      </c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238" ht="17.649999999999999" customHeight="1" thickBot="1" x14ac:dyDescent="0.35">
      <c r="A56" s="122" t="s">
        <v>50</v>
      </c>
      <c r="B56" s="124">
        <f>+B$58</f>
        <v>6.5714285714285712</v>
      </c>
      <c r="C56" s="124">
        <f>ROUND(B56*[2]Manual_Input!K62,6)</f>
        <v>5.4461909999999998</v>
      </c>
      <c r="D56" s="125"/>
      <c r="E56" s="124">
        <f t="shared" si="7"/>
        <v>14</v>
      </c>
      <c r="F56" s="124">
        <f>ROUND(E56*[2]Manual_Input!K62,6)</f>
        <v>11.602753999999999</v>
      </c>
      <c r="G56" s="125"/>
      <c r="H56" s="124">
        <f t="shared" si="3"/>
        <v>9.8571428571428577</v>
      </c>
      <c r="I56" s="124">
        <f>ROUND(H56*[2]Manual_Input!K62,6)</f>
        <v>8.1692859999999996</v>
      </c>
      <c r="J56" s="125"/>
      <c r="K56" s="124">
        <f t="shared" si="8"/>
        <v>4</v>
      </c>
      <c r="L56" s="124">
        <f>ROUND(K56*[2]Manual_Input!K62,6)</f>
        <v>3.3150729999999999</v>
      </c>
      <c r="M56" s="125"/>
      <c r="N56" s="124">
        <f t="shared" si="1"/>
        <v>34.428571428571431</v>
      </c>
      <c r="O56" s="124">
        <f t="shared" si="1"/>
        <v>28.533304000000001</v>
      </c>
      <c r="P56" s="124"/>
      <c r="Q56" s="124">
        <f t="shared" si="4"/>
        <v>1651.1428571428571</v>
      </c>
      <c r="R56" s="124">
        <f>ROUND(Q56*[2]Manual_Input!K62,6)</f>
        <v>1368.414581</v>
      </c>
      <c r="S56" s="125"/>
      <c r="T56" s="125"/>
      <c r="U56" s="124">
        <v>0</v>
      </c>
      <c r="V56" s="124"/>
      <c r="W56" s="124">
        <f>ROUND(U56*[2]Manual_Input!K62,6)</f>
        <v>0</v>
      </c>
      <c r="X56" s="125"/>
      <c r="Y56" s="125"/>
      <c r="Z56" s="124">
        <v>0</v>
      </c>
      <c r="AA56" s="125"/>
      <c r="AB56" s="125"/>
      <c r="AC56" s="124">
        <f>ROUND(Z56*[2]Manual_Input!K62,6)</f>
        <v>0</v>
      </c>
      <c r="AD56" s="124"/>
      <c r="AE56" s="124">
        <v>0</v>
      </c>
      <c r="AF56" s="124">
        <f>ROUND(AE56*[2]Manual_Input!K62,6)</f>
        <v>0</v>
      </c>
      <c r="AG56" s="124">
        <f t="shared" si="5"/>
        <v>80723.71428571429</v>
      </c>
      <c r="AH56" s="124">
        <f>ROUND(AG56*[2]Manual_Input!K62,6)</f>
        <v>66901.241892999999</v>
      </c>
      <c r="AI56" s="124"/>
      <c r="AJ56" s="124">
        <f t="shared" si="6"/>
        <v>3730.2857142857142</v>
      </c>
      <c r="AK56" s="124">
        <f>ROUND(AJ56*[2]Manual_Input!K62,6)</f>
        <v>3091.5419230000002</v>
      </c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238" ht="17.649999999999999" customHeight="1" x14ac:dyDescent="0.3">
      <c r="A57" s="122" t="s">
        <v>51</v>
      </c>
      <c r="B57" s="132">
        <f>SUM(B7:B56)</f>
        <v>1172.142857142858</v>
      </c>
      <c r="C57" s="132">
        <f>SUM(C44:C56)</f>
        <v>47.369252000000003</v>
      </c>
      <c r="D57" s="133">
        <f t="shared" ref="D57:AF57" si="9">SUM(D37:D56)</f>
        <v>0</v>
      </c>
      <c r="E57" s="132">
        <f>SUM(E7:E56)</f>
        <v>499</v>
      </c>
      <c r="F57" s="132">
        <f>SUM(F44:F56)</f>
        <v>73.884106000000003</v>
      </c>
      <c r="G57" s="133"/>
      <c r="H57" s="132">
        <f>SUM(H7:H56)</f>
        <v>339.7142857142855</v>
      </c>
      <c r="I57" s="132">
        <f>SUM(I44:I56)</f>
        <v>71.053876000000002</v>
      </c>
      <c r="J57" s="133"/>
      <c r="K57" s="132">
        <f>SUM(K7:K56)</f>
        <v>807</v>
      </c>
      <c r="L57" s="132">
        <f>SUM(L44:L56)</f>
        <v>21.109746000000001</v>
      </c>
      <c r="M57" s="133"/>
      <c r="N57" s="132">
        <f>SUM(N7:N56)</f>
        <v>2817.857142857144</v>
      </c>
      <c r="O57" s="132">
        <f>SUM(O44:O56)</f>
        <v>213.41697999999997</v>
      </c>
      <c r="P57" s="132"/>
      <c r="Q57" s="132">
        <f>SUM(Q7:Q56)</f>
        <v>87953.285714285696</v>
      </c>
      <c r="R57" s="132">
        <f>SUM(R44:R56)</f>
        <v>11902.039154000002</v>
      </c>
      <c r="S57" s="133"/>
      <c r="T57" s="133">
        <f t="shared" si="9"/>
        <v>0</v>
      </c>
      <c r="U57" s="133">
        <f t="shared" si="9"/>
        <v>0</v>
      </c>
      <c r="V57" s="133"/>
      <c r="W57" s="133">
        <f t="shared" si="9"/>
        <v>0</v>
      </c>
      <c r="X57" s="133">
        <f t="shared" si="9"/>
        <v>0</v>
      </c>
      <c r="Y57" s="133">
        <f t="shared" si="9"/>
        <v>0</v>
      </c>
      <c r="Z57" s="133">
        <f t="shared" si="9"/>
        <v>0</v>
      </c>
      <c r="AA57" s="133">
        <f t="shared" si="9"/>
        <v>0</v>
      </c>
      <c r="AB57" s="133">
        <f t="shared" si="9"/>
        <v>0</v>
      </c>
      <c r="AC57" s="133">
        <f t="shared" si="9"/>
        <v>0</v>
      </c>
      <c r="AD57" s="133">
        <f t="shared" si="9"/>
        <v>0</v>
      </c>
      <c r="AE57" s="133">
        <f t="shared" si="9"/>
        <v>0</v>
      </c>
      <c r="AF57" s="133">
        <f t="shared" si="9"/>
        <v>0</v>
      </c>
      <c r="AG57" s="132">
        <f>SUM(AG7:AG56)</f>
        <v>5074478.428571431</v>
      </c>
      <c r="AH57" s="132">
        <f>SUM(AH44:AH56)</f>
        <v>581885.93679399998</v>
      </c>
      <c r="AI57" s="132"/>
      <c r="AJ57" s="132">
        <f>SUM(AJ7:AJ56)</f>
        <v>176335.57142857139</v>
      </c>
      <c r="AK57" s="132">
        <f>SUM(AK44:AK56)</f>
        <v>26889.258212000001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238" ht="17.649999999999999" customHeight="1" x14ac:dyDescent="0.3">
      <c r="A58" s="131" t="s">
        <v>52</v>
      </c>
      <c r="B58" s="124">
        <f>+(SUM(B41:B47)-72)/7</f>
        <v>6.5714285714285712</v>
      </c>
      <c r="C58" s="124"/>
      <c r="D58" s="124"/>
      <c r="E58" s="124">
        <f>ROUND(100/7,0)</f>
        <v>14</v>
      </c>
      <c r="F58" s="124"/>
      <c r="G58" s="124"/>
      <c r="H58" s="124">
        <f>AVERAGE(H41:H47)</f>
        <v>9.8571428571428577</v>
      </c>
      <c r="I58" s="124"/>
      <c r="J58" s="124"/>
      <c r="K58" s="124">
        <f>ROUND(25/7,0)</f>
        <v>4</v>
      </c>
      <c r="L58" s="124"/>
      <c r="M58" s="124"/>
      <c r="N58" s="124">
        <f>B58+E58+H58+K58</f>
        <v>34.428571428571431</v>
      </c>
      <c r="O58" s="124">
        <f>C58+F58+I58+L58</f>
        <v>0</v>
      </c>
      <c r="P58" s="124"/>
      <c r="Q58" s="124">
        <f>AVERAGE(Q41:Q47)</f>
        <v>1651.1428571428571</v>
      </c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>
        <f>AVERAGE(AG41:AG47)</f>
        <v>80723.71428571429</v>
      </c>
      <c r="AH58" s="124"/>
      <c r="AI58" s="124"/>
      <c r="AJ58" s="124">
        <f>AVERAGE(AJ41:AJ47)</f>
        <v>3730.2857142857142</v>
      </c>
      <c r="AK58" s="134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</row>
    <row r="59" spans="1:238" ht="17.649999999999999" customHeight="1" x14ac:dyDescent="0.3">
      <c r="A59" s="135" t="s">
        <v>53</v>
      </c>
      <c r="B59" s="125">
        <f>+SUM(B49:B56)</f>
        <v>52.571428571428562</v>
      </c>
      <c r="C59" s="125">
        <f t="shared" ref="C59:AK59" si="10">+SUM(C49:C56)</f>
        <v>47.369252000000003</v>
      </c>
      <c r="D59" s="125">
        <f t="shared" si="10"/>
        <v>0</v>
      </c>
      <c r="E59" s="125">
        <f t="shared" si="10"/>
        <v>84</v>
      </c>
      <c r="F59" s="125">
        <f t="shared" si="10"/>
        <v>73.884106000000003</v>
      </c>
      <c r="G59" s="125">
        <f t="shared" si="10"/>
        <v>0</v>
      </c>
      <c r="H59" s="125">
        <f t="shared" si="10"/>
        <v>78.857142857142875</v>
      </c>
      <c r="I59" s="125">
        <f t="shared" si="10"/>
        <v>71.053876000000002</v>
      </c>
      <c r="J59" s="125">
        <f t="shared" si="10"/>
        <v>0</v>
      </c>
      <c r="K59" s="125">
        <f t="shared" si="10"/>
        <v>24</v>
      </c>
      <c r="L59" s="125">
        <f t="shared" si="10"/>
        <v>21.109746000000001</v>
      </c>
      <c r="M59" s="125">
        <f t="shared" si="10"/>
        <v>0</v>
      </c>
      <c r="N59" s="125">
        <f t="shared" si="10"/>
        <v>239.4285714285715</v>
      </c>
      <c r="O59" s="125">
        <f t="shared" si="10"/>
        <v>213.41697999999997</v>
      </c>
      <c r="P59" s="125">
        <f t="shared" si="10"/>
        <v>0</v>
      </c>
      <c r="Q59" s="125">
        <f t="shared" si="10"/>
        <v>13209.142857142857</v>
      </c>
      <c r="R59" s="125">
        <f t="shared" si="10"/>
        <v>11902.039154000002</v>
      </c>
      <c r="S59" s="125">
        <f t="shared" si="10"/>
        <v>0</v>
      </c>
      <c r="T59" s="125">
        <f t="shared" si="10"/>
        <v>0</v>
      </c>
      <c r="U59" s="125">
        <f t="shared" si="10"/>
        <v>0</v>
      </c>
      <c r="V59" s="125">
        <f t="shared" si="10"/>
        <v>0</v>
      </c>
      <c r="W59" s="125">
        <f t="shared" si="10"/>
        <v>0</v>
      </c>
      <c r="X59" s="125">
        <f t="shared" si="10"/>
        <v>0</v>
      </c>
      <c r="Y59" s="125">
        <f t="shared" si="10"/>
        <v>0</v>
      </c>
      <c r="Z59" s="125">
        <f t="shared" si="10"/>
        <v>0</v>
      </c>
      <c r="AA59" s="125">
        <f t="shared" si="10"/>
        <v>0</v>
      </c>
      <c r="AB59" s="125">
        <f t="shared" si="10"/>
        <v>0</v>
      </c>
      <c r="AC59" s="125">
        <f t="shared" si="10"/>
        <v>0</v>
      </c>
      <c r="AD59" s="125">
        <f t="shared" si="10"/>
        <v>0</v>
      </c>
      <c r="AE59" s="125">
        <f t="shared" si="10"/>
        <v>0</v>
      </c>
      <c r="AF59" s="125">
        <f t="shared" si="10"/>
        <v>0</v>
      </c>
      <c r="AG59" s="125">
        <f t="shared" si="10"/>
        <v>645789.71428571444</v>
      </c>
      <c r="AH59" s="125">
        <f t="shared" si="10"/>
        <v>581885.93679399998</v>
      </c>
      <c r="AI59" s="125">
        <f t="shared" si="10"/>
        <v>0</v>
      </c>
      <c r="AJ59" s="125">
        <f t="shared" si="10"/>
        <v>29842.285714285714</v>
      </c>
      <c r="AK59" s="125">
        <f t="shared" si="10"/>
        <v>26889.258212000001</v>
      </c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238" ht="17.649999999999999" customHeight="1" x14ac:dyDescent="0.2">
      <c r="A60" s="17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238" ht="24.95" customHeight="1" x14ac:dyDescent="0.2">
      <c r="A61" s="1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238" ht="24.95" customHeight="1" x14ac:dyDescent="0.2">
      <c r="A62" s="17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238" ht="24.95" customHeight="1" x14ac:dyDescent="0.2">
      <c r="A63" s="1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</row>
    <row r="64" spans="1:238" ht="15" customHeight="1" x14ac:dyDescent="0.2">
      <c r="A64" s="1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</row>
    <row r="65" spans="2:54" ht="1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</row>
  </sheetData>
  <printOptions horizontalCentered="1"/>
  <pageMargins left="0.25" right="0.25" top="0.25" bottom="0.25" header="0.25" footer="0.25"/>
  <pageSetup scale="43" fitToWidth="0" fitToHeight="0" orientation="landscape" r:id="rId1"/>
  <headerFooter>
    <oddFooter>&amp;RSchedule A-13
Page &amp;P of &amp;N</oddFooter>
  </headerFooter>
  <colBreaks count="1" manualBreakCount="1">
    <brk id="37" max="62" man="1"/>
  </col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FD2C-30D7-4ADD-AC75-32CE17E2500A}">
  <sheetPr transitionEvaluation="1" transitionEntry="1"/>
  <dimension ref="A1:IF91"/>
  <sheetViews>
    <sheetView showZeros="0" defaultGridColor="0" view="pageBreakPreview" topLeftCell="G1" colorId="22" zoomScaleNormal="100" zoomScaleSheetLayoutView="100" workbookViewId="0">
      <selection activeCell="A6" sqref="A6:V6"/>
    </sheetView>
  </sheetViews>
  <sheetFormatPr defaultColWidth="9.77734375" defaultRowHeight="15" x14ac:dyDescent="0.2"/>
  <cols>
    <col min="1" max="1" width="19.44140625" style="35" customWidth="1"/>
    <col min="2" max="2" width="11.6640625" style="11" customWidth="1"/>
    <col min="3" max="3" width="12.21875" style="11" customWidth="1"/>
    <col min="4" max="4" width="2.21875" style="11" hidden="1" customWidth="1"/>
    <col min="5" max="5" width="11.88671875" style="11" customWidth="1"/>
    <col min="6" max="6" width="3.109375" style="11" hidden="1" customWidth="1"/>
    <col min="7" max="7" width="12.5546875" style="11" customWidth="1"/>
    <col min="8" max="8" width="1.77734375" style="11" hidden="1" customWidth="1"/>
    <col min="9" max="9" width="8.5546875" style="11" customWidth="1"/>
    <col min="10" max="10" width="10.109375" style="11" customWidth="1"/>
    <col min="11" max="11" width="4.21875" style="11" hidden="1" customWidth="1"/>
    <col min="12" max="12" width="12.44140625" style="11" customWidth="1"/>
    <col min="13" max="13" width="13.6640625" style="11" bestFit="1" customWidth="1"/>
    <col min="14" max="14" width="11" style="11" customWidth="1"/>
    <col min="15" max="15" width="1.77734375" style="11" hidden="1" customWidth="1"/>
    <col min="16" max="16" width="12" style="11" bestFit="1" customWidth="1"/>
    <col min="17" max="17" width="13" style="11" customWidth="1"/>
    <col min="18" max="18" width="13.5546875" style="11" customWidth="1"/>
    <col min="19" max="19" width="15.109375" style="11" customWidth="1"/>
    <col min="20" max="20" width="13" style="11" customWidth="1"/>
    <col min="21" max="21" width="10.77734375" style="11" customWidth="1"/>
    <col min="22" max="22" width="11.88671875" style="11" customWidth="1"/>
    <col min="23" max="23" width="2.33203125" style="11" customWidth="1"/>
    <col min="24" max="24" width="3.77734375" style="11" customWidth="1"/>
    <col min="25" max="25" width="1.77734375" style="11" customWidth="1"/>
    <col min="26" max="26" width="8.109375" style="11" customWidth="1"/>
    <col min="27" max="27" width="3" style="11" customWidth="1"/>
    <col min="28" max="28" width="1.88671875" style="11" customWidth="1"/>
    <col min="29" max="29" width="1.77734375" style="11" customWidth="1"/>
    <col min="30" max="30" width="7.77734375" style="11" customWidth="1"/>
    <col min="31" max="31" width="3.109375" style="11" customWidth="1"/>
    <col min="32" max="32" width="9.77734375" style="11" customWidth="1"/>
    <col min="33" max="33" width="5.21875" style="11" customWidth="1"/>
    <col min="34" max="34" width="9.77734375" style="11" customWidth="1"/>
    <col min="35" max="35" width="3.77734375" style="11" customWidth="1"/>
    <col min="36" max="36" width="11.21875" style="11" customWidth="1"/>
    <col min="37" max="37" width="3.77734375" style="11" customWidth="1"/>
    <col min="38" max="38" width="12.109375" style="11" customWidth="1"/>
    <col min="39" max="41" width="9.77734375" style="11"/>
    <col min="42" max="42" width="2.77734375" style="11" customWidth="1"/>
    <col min="43" max="43" width="11.77734375" style="11" customWidth="1"/>
    <col min="44" max="44" width="2.77734375" style="11" customWidth="1"/>
    <col min="45" max="45" width="9.77734375" style="11"/>
    <col min="46" max="46" width="2.77734375" style="11" customWidth="1"/>
    <col min="47" max="16384" width="9.77734375" style="11"/>
  </cols>
  <sheetData>
    <row r="1" spans="1:233" s="1" customFormat="1" ht="40.5" x14ac:dyDescent="0.35">
      <c r="A1" s="146" t="str">
        <f>[2]INFORMATION!A1</f>
        <v>M&amp;I 2023 Sch A-13 F.Z25.XLSM</v>
      </c>
      <c r="B1" s="116"/>
      <c r="C1" s="117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47"/>
      <c r="P1" s="118"/>
      <c r="Q1" s="118"/>
      <c r="R1" s="118"/>
      <c r="S1" s="118"/>
      <c r="T1" s="118"/>
      <c r="U1" s="118"/>
      <c r="V1" s="118"/>
      <c r="W1" s="20"/>
      <c r="Y1" s="20"/>
      <c r="Z1" s="20"/>
      <c r="AA1" s="3"/>
      <c r="AB1" s="3"/>
      <c r="AC1" s="3"/>
      <c r="AD1" s="3"/>
      <c r="AE1" s="3"/>
      <c r="AF1" s="3"/>
      <c r="AG1" s="3"/>
      <c r="AH1" s="3"/>
      <c r="AI1" s="3"/>
      <c r="AK1" s="21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</row>
    <row r="2" spans="1:233" s="1" customFormat="1" ht="20.25" x14ac:dyDescent="0.35">
      <c r="A2" s="119" t="str">
        <f>[2]INFORMATION!A2</f>
        <v>09/13/2022</v>
      </c>
      <c r="B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47"/>
      <c r="P2" s="118"/>
      <c r="Q2" s="118"/>
      <c r="R2" s="118"/>
      <c r="S2" s="118"/>
      <c r="T2" s="118"/>
      <c r="U2" s="118"/>
      <c r="V2" s="118"/>
      <c r="W2" s="20"/>
      <c r="Y2" s="20"/>
      <c r="Z2" s="20"/>
      <c r="AA2" s="3"/>
      <c r="AB2" s="3"/>
      <c r="AC2" s="3"/>
      <c r="AD2" s="3"/>
      <c r="AE2" s="3"/>
      <c r="AF2" s="3"/>
      <c r="AG2" s="3"/>
      <c r="AH2" s="3"/>
      <c r="AI2" s="3"/>
      <c r="AK2" s="21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</row>
    <row r="3" spans="1:233" s="1" customFormat="1" ht="40.5" x14ac:dyDescent="0.35">
      <c r="A3" s="120" t="str">
        <f>PAGE_1!A3</f>
        <v>CENTRAL VALLEY PROJECT</v>
      </c>
      <c r="B3" s="116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20"/>
      <c r="X3" s="20"/>
      <c r="Y3" s="20"/>
      <c r="Z3" s="20"/>
      <c r="AA3" s="3"/>
      <c r="AB3" s="3"/>
      <c r="AC3" s="20"/>
      <c r="AD3" s="3"/>
      <c r="AE3" s="3"/>
      <c r="AF3" s="3"/>
      <c r="AG3" s="3"/>
      <c r="AH3" s="3"/>
      <c r="AI3" s="3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233" s="1" customFormat="1" ht="121.5" x14ac:dyDescent="0.35">
      <c r="A4" s="120" t="str">
        <f>PAGE_1!A4</f>
        <v>SCHEDULE OF HISTORICAL (1981-2021) &amp; PROJECTED (2022-2030) M&amp;I WATER DELIVERIES</v>
      </c>
      <c r="B4" s="116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22"/>
      <c r="X4" s="22"/>
      <c r="Y4" s="22"/>
      <c r="Z4" s="22"/>
      <c r="AA4" s="2"/>
      <c r="AB4" s="2"/>
      <c r="AC4" s="22"/>
      <c r="AD4" s="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233" s="1" customFormat="1" ht="162" x14ac:dyDescent="0.35">
      <c r="A5" s="120" t="str">
        <f>PAGE_1!A5</f>
        <v xml:space="preserve">AND PRESENT WORTH @ .023755 FOR CALCULATION OF INDIVIDUAL CONTRACTOR PRORATED CONSTRUCTION COSTS AND RATE   </v>
      </c>
      <c r="B5" s="116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22"/>
      <c r="X5" s="22"/>
      <c r="Y5" s="22"/>
      <c r="Z5" s="22"/>
      <c r="AA5" s="2"/>
      <c r="AB5" s="2"/>
      <c r="AC5" s="22"/>
      <c r="AD5" s="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</row>
    <row r="6" spans="1:233" s="25" customFormat="1" ht="138" x14ac:dyDescent="0.3">
      <c r="A6" s="136" t="s">
        <v>0</v>
      </c>
      <c r="B6" s="150" t="s">
        <v>54</v>
      </c>
      <c r="C6" s="140" t="s">
        <v>55</v>
      </c>
      <c r="D6" s="138" t="s">
        <v>186</v>
      </c>
      <c r="E6" s="140" t="s">
        <v>56</v>
      </c>
      <c r="F6" s="140" t="s">
        <v>187</v>
      </c>
      <c r="G6" s="140" t="s">
        <v>57</v>
      </c>
      <c r="H6" s="138" t="s">
        <v>188</v>
      </c>
      <c r="I6" s="140" t="s">
        <v>58</v>
      </c>
      <c r="J6" s="145" t="s">
        <v>59</v>
      </c>
      <c r="K6" s="143" t="s">
        <v>189</v>
      </c>
      <c r="L6" s="150" t="s">
        <v>60</v>
      </c>
      <c r="M6" s="140" t="s">
        <v>61</v>
      </c>
      <c r="N6" s="138" t="s">
        <v>62</v>
      </c>
      <c r="O6" s="138" t="s">
        <v>190</v>
      </c>
      <c r="P6" s="140" t="s">
        <v>63</v>
      </c>
      <c r="Q6" s="138" t="s">
        <v>64</v>
      </c>
      <c r="R6" s="140" t="s">
        <v>65</v>
      </c>
      <c r="S6" s="138" t="s">
        <v>66</v>
      </c>
      <c r="T6" s="138" t="s">
        <v>67</v>
      </c>
      <c r="U6" s="140" t="s">
        <v>68</v>
      </c>
      <c r="V6" s="141" t="s">
        <v>69</v>
      </c>
      <c r="W6" s="23"/>
      <c r="X6" s="24"/>
      <c r="Y6" s="24"/>
      <c r="Z6" s="23"/>
      <c r="AA6" s="23"/>
      <c r="AM6" s="26">
        <v>8.8206999999999994E-2</v>
      </c>
      <c r="AN6" s="23"/>
      <c r="AO6" s="24" t="s">
        <v>70</v>
      </c>
      <c r="AP6" s="23"/>
      <c r="AQ6" s="23"/>
      <c r="AR6" s="23"/>
      <c r="AS6" s="24" t="s">
        <v>71</v>
      </c>
      <c r="AT6" s="24"/>
      <c r="AU6" s="23"/>
      <c r="AV6" s="23"/>
    </row>
    <row r="7" spans="1:233" ht="17.649999999999999" customHeight="1" x14ac:dyDescent="0.3">
      <c r="A7" s="129" t="s">
        <v>4</v>
      </c>
      <c r="B7" s="127">
        <v>0</v>
      </c>
      <c r="C7" s="124"/>
      <c r="D7" s="130"/>
      <c r="E7" s="124">
        <v>1607</v>
      </c>
      <c r="F7" s="124"/>
      <c r="G7" s="124"/>
      <c r="H7" s="130"/>
      <c r="I7" s="124">
        <f t="shared" ref="I7:I56" si="0">B7+E7</f>
        <v>1607</v>
      </c>
      <c r="J7" s="124"/>
      <c r="K7" s="130"/>
      <c r="L7" s="127">
        <v>0</v>
      </c>
      <c r="M7" s="124"/>
      <c r="N7" s="124">
        <v>5778</v>
      </c>
      <c r="O7" s="124"/>
      <c r="P7" s="124"/>
      <c r="Q7" s="127">
        <f t="shared" ref="Q7:Q18" si="1">AK7+AO7</f>
        <v>0</v>
      </c>
      <c r="R7" s="124"/>
      <c r="S7" s="148">
        <v>0</v>
      </c>
      <c r="T7" s="125"/>
      <c r="U7" s="124">
        <v>13</v>
      </c>
      <c r="V7" s="124"/>
      <c r="W7" s="22"/>
      <c r="X7" s="27"/>
      <c r="Y7" s="27"/>
      <c r="Z7" s="27"/>
      <c r="AA7" s="28"/>
      <c r="AB7" s="29"/>
      <c r="AC7" s="29"/>
      <c r="AD7" s="29"/>
      <c r="AM7" s="22"/>
      <c r="AN7" s="22"/>
      <c r="AO7" s="21">
        <v>0</v>
      </c>
      <c r="AP7" s="22"/>
      <c r="AQ7" s="21"/>
      <c r="AR7" s="22"/>
      <c r="AS7" s="21">
        <v>0</v>
      </c>
      <c r="AT7" s="21"/>
      <c r="AU7" s="21"/>
      <c r="AV7" s="22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</row>
    <row r="8" spans="1:233" ht="17.649999999999999" customHeight="1" x14ac:dyDescent="0.3">
      <c r="A8" s="129" t="s">
        <v>5</v>
      </c>
      <c r="B8" s="127">
        <v>0</v>
      </c>
      <c r="C8" s="124"/>
      <c r="D8" s="130"/>
      <c r="E8" s="124">
        <v>407</v>
      </c>
      <c r="F8" s="124"/>
      <c r="G8" s="124"/>
      <c r="H8" s="130"/>
      <c r="I8" s="124">
        <f t="shared" si="0"/>
        <v>407</v>
      </c>
      <c r="J8" s="124"/>
      <c r="K8" s="130"/>
      <c r="L8" s="127">
        <v>0</v>
      </c>
      <c r="M8" s="124"/>
      <c r="N8" s="124">
        <v>5719</v>
      </c>
      <c r="O8" s="124"/>
      <c r="P8" s="124"/>
      <c r="Q8" s="127">
        <f t="shared" si="1"/>
        <v>0</v>
      </c>
      <c r="R8" s="124"/>
      <c r="S8" s="148">
        <v>0</v>
      </c>
      <c r="T8" s="125"/>
      <c r="U8" s="124">
        <v>34</v>
      </c>
      <c r="V8" s="124"/>
      <c r="W8" s="22"/>
      <c r="X8" s="27"/>
      <c r="Y8" s="27"/>
      <c r="Z8" s="27"/>
      <c r="AA8" s="28"/>
      <c r="AB8" s="29"/>
      <c r="AC8" s="29"/>
      <c r="AD8" s="29"/>
      <c r="AM8" s="22"/>
      <c r="AN8" s="22"/>
      <c r="AO8" s="21">
        <v>0</v>
      </c>
      <c r="AP8" s="22"/>
      <c r="AQ8" s="21"/>
      <c r="AR8" s="22"/>
      <c r="AS8" s="21">
        <v>0</v>
      </c>
      <c r="AT8" s="21"/>
      <c r="AU8" s="21"/>
      <c r="AV8" s="22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</row>
    <row r="9" spans="1:233" ht="17.649999999999999" customHeight="1" x14ac:dyDescent="0.3">
      <c r="A9" s="129" t="s">
        <v>6</v>
      </c>
      <c r="B9" s="127">
        <v>0</v>
      </c>
      <c r="C9" s="124"/>
      <c r="D9" s="130"/>
      <c r="E9" s="124">
        <v>1349</v>
      </c>
      <c r="F9" s="124"/>
      <c r="G9" s="124"/>
      <c r="H9" s="130"/>
      <c r="I9" s="124">
        <f t="shared" si="0"/>
        <v>1349</v>
      </c>
      <c r="J9" s="124"/>
      <c r="K9" s="130"/>
      <c r="L9" s="127">
        <v>0</v>
      </c>
      <c r="M9" s="124"/>
      <c r="N9" s="124">
        <v>5659</v>
      </c>
      <c r="O9" s="124"/>
      <c r="P9" s="124"/>
      <c r="Q9" s="127">
        <f t="shared" si="1"/>
        <v>0</v>
      </c>
      <c r="R9" s="124"/>
      <c r="S9" s="148">
        <v>0</v>
      </c>
      <c r="T9" s="125"/>
      <c r="U9" s="124">
        <v>12</v>
      </c>
      <c r="V9" s="124"/>
      <c r="W9" s="22"/>
      <c r="X9" s="21"/>
      <c r="Y9" s="21"/>
      <c r="Z9" s="21"/>
      <c r="AA9" s="22"/>
      <c r="AM9" s="22"/>
      <c r="AN9" s="22"/>
      <c r="AO9" s="21">
        <v>0</v>
      </c>
      <c r="AP9" s="22"/>
      <c r="AQ9" s="21"/>
      <c r="AR9" s="22"/>
      <c r="AS9" s="21">
        <v>0</v>
      </c>
      <c r="AT9" s="21"/>
      <c r="AU9" s="21"/>
      <c r="AV9" s="22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</row>
    <row r="10" spans="1:233" ht="17.649999999999999" customHeight="1" x14ac:dyDescent="0.3">
      <c r="A10" s="129" t="s">
        <v>7</v>
      </c>
      <c r="B10" s="127">
        <v>0</v>
      </c>
      <c r="C10" s="124"/>
      <c r="D10" s="130"/>
      <c r="E10" s="124">
        <v>1354</v>
      </c>
      <c r="F10" s="124"/>
      <c r="G10" s="124"/>
      <c r="H10" s="130"/>
      <c r="I10" s="124">
        <f t="shared" si="0"/>
        <v>1354</v>
      </c>
      <c r="J10" s="124"/>
      <c r="K10" s="130"/>
      <c r="L10" s="127">
        <v>0</v>
      </c>
      <c r="M10" s="124"/>
      <c r="N10" s="124">
        <v>5537</v>
      </c>
      <c r="O10" s="124"/>
      <c r="P10" s="124"/>
      <c r="Q10" s="127">
        <f t="shared" si="1"/>
        <v>0</v>
      </c>
      <c r="R10" s="124"/>
      <c r="S10" s="148">
        <v>0</v>
      </c>
      <c r="T10" s="125"/>
      <c r="U10" s="124">
        <v>18</v>
      </c>
      <c r="V10" s="124"/>
      <c r="W10" s="22"/>
      <c r="X10" s="21"/>
      <c r="Y10" s="21"/>
      <c r="Z10" s="21"/>
      <c r="AA10" s="22"/>
      <c r="AM10" s="22"/>
      <c r="AN10" s="22"/>
      <c r="AO10" s="21">
        <v>0</v>
      </c>
      <c r="AP10" s="22"/>
      <c r="AQ10" s="21"/>
      <c r="AR10" s="22"/>
      <c r="AS10" s="21">
        <v>0</v>
      </c>
      <c r="AT10" s="21"/>
      <c r="AU10" s="21"/>
      <c r="AV10" s="22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</row>
    <row r="11" spans="1:233" ht="17.649999999999999" customHeight="1" x14ac:dyDescent="0.3">
      <c r="A11" s="129" t="s">
        <v>8</v>
      </c>
      <c r="B11" s="127">
        <v>0</v>
      </c>
      <c r="C11" s="124"/>
      <c r="D11" s="130"/>
      <c r="E11" s="124">
        <v>593</v>
      </c>
      <c r="F11" s="124"/>
      <c r="G11" s="124"/>
      <c r="H11" s="130"/>
      <c r="I11" s="124">
        <f t="shared" si="0"/>
        <v>593</v>
      </c>
      <c r="J11" s="124"/>
      <c r="K11" s="130"/>
      <c r="L11" s="127">
        <v>0</v>
      </c>
      <c r="M11" s="124"/>
      <c r="N11" s="124">
        <v>5869</v>
      </c>
      <c r="O11" s="124"/>
      <c r="P11" s="124"/>
      <c r="Q11" s="127">
        <f t="shared" si="1"/>
        <v>0</v>
      </c>
      <c r="R11" s="124"/>
      <c r="S11" s="148">
        <v>0</v>
      </c>
      <c r="T11" s="125"/>
      <c r="U11" s="124">
        <v>18</v>
      </c>
      <c r="V11" s="124"/>
      <c r="W11" s="22"/>
      <c r="X11" s="21"/>
      <c r="Y11" s="21"/>
      <c r="Z11" s="21"/>
      <c r="AA11" s="22"/>
      <c r="AM11" s="22"/>
      <c r="AN11" s="22"/>
      <c r="AO11" s="21">
        <v>0</v>
      </c>
      <c r="AP11" s="22"/>
      <c r="AQ11" s="21"/>
      <c r="AR11" s="22"/>
      <c r="AS11" s="21">
        <v>0</v>
      </c>
      <c r="AT11" s="21"/>
      <c r="AU11" s="21"/>
      <c r="AV11" s="22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</row>
    <row r="12" spans="1:233" ht="17.649999999999999" customHeight="1" x14ac:dyDescent="0.3">
      <c r="A12" s="129" t="s">
        <v>9</v>
      </c>
      <c r="B12" s="127">
        <v>0</v>
      </c>
      <c r="C12" s="124"/>
      <c r="D12" s="130"/>
      <c r="E12" s="124">
        <v>3</v>
      </c>
      <c r="F12" s="124"/>
      <c r="G12" s="124"/>
      <c r="H12" s="130"/>
      <c r="I12" s="124">
        <f t="shared" si="0"/>
        <v>3</v>
      </c>
      <c r="J12" s="124"/>
      <c r="K12" s="130"/>
      <c r="L12" s="127">
        <v>0</v>
      </c>
      <c r="M12" s="124"/>
      <c r="N12" s="124">
        <v>5318</v>
      </c>
      <c r="O12" s="124"/>
      <c r="P12" s="124"/>
      <c r="Q12" s="127">
        <f t="shared" si="1"/>
        <v>0</v>
      </c>
      <c r="R12" s="124"/>
      <c r="S12" s="148">
        <v>0</v>
      </c>
      <c r="T12" s="125"/>
      <c r="U12" s="124">
        <v>18</v>
      </c>
      <c r="V12" s="124"/>
      <c r="W12" s="22"/>
      <c r="X12" s="21"/>
      <c r="Y12" s="21"/>
      <c r="Z12" s="21"/>
      <c r="AA12" s="22"/>
      <c r="AM12" s="22"/>
      <c r="AN12" s="22"/>
      <c r="AO12" s="21">
        <v>0</v>
      </c>
      <c r="AP12" s="22"/>
      <c r="AQ12" s="21"/>
      <c r="AR12" s="22"/>
      <c r="AS12" s="21">
        <v>0</v>
      </c>
      <c r="AT12" s="21"/>
      <c r="AU12" s="21"/>
      <c r="AV12" s="22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</row>
    <row r="13" spans="1:233" ht="17.649999999999999" customHeight="1" x14ac:dyDescent="0.3">
      <c r="A13" s="129" t="s">
        <v>10</v>
      </c>
      <c r="B13" s="127">
        <v>0</v>
      </c>
      <c r="C13" s="124"/>
      <c r="D13" s="130"/>
      <c r="E13" s="124">
        <v>2</v>
      </c>
      <c r="F13" s="124"/>
      <c r="G13" s="124"/>
      <c r="H13" s="130"/>
      <c r="I13" s="124">
        <f t="shared" si="0"/>
        <v>2</v>
      </c>
      <c r="J13" s="124"/>
      <c r="K13" s="130"/>
      <c r="L13" s="127">
        <v>0</v>
      </c>
      <c r="M13" s="124"/>
      <c r="N13" s="124">
        <v>6382</v>
      </c>
      <c r="O13" s="124"/>
      <c r="P13" s="124"/>
      <c r="Q13" s="127">
        <f t="shared" si="1"/>
        <v>0</v>
      </c>
      <c r="R13" s="124"/>
      <c r="S13" s="148">
        <v>0</v>
      </c>
      <c r="T13" s="125"/>
      <c r="U13" s="124">
        <v>18</v>
      </c>
      <c r="V13" s="124"/>
      <c r="W13" s="22"/>
      <c r="X13" s="21"/>
      <c r="Y13" s="21"/>
      <c r="Z13" s="21"/>
      <c r="AA13" s="22"/>
      <c r="AM13" s="22"/>
      <c r="AN13" s="22"/>
      <c r="AO13" s="21">
        <v>0</v>
      </c>
      <c r="AP13" s="22"/>
      <c r="AQ13" s="21"/>
      <c r="AR13" s="22"/>
      <c r="AS13" s="21">
        <v>0</v>
      </c>
      <c r="AT13" s="21"/>
      <c r="AU13" s="21"/>
      <c r="AV13" s="22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</row>
    <row r="14" spans="1:233" ht="17.649999999999999" customHeight="1" x14ac:dyDescent="0.3">
      <c r="A14" s="129" t="s">
        <v>11</v>
      </c>
      <c r="B14" s="127">
        <v>0</v>
      </c>
      <c r="C14" s="124"/>
      <c r="D14" s="130"/>
      <c r="E14" s="124">
        <v>4</v>
      </c>
      <c r="F14" s="124"/>
      <c r="G14" s="124"/>
      <c r="H14" s="130"/>
      <c r="I14" s="124">
        <f t="shared" si="0"/>
        <v>4</v>
      </c>
      <c r="J14" s="124"/>
      <c r="K14" s="130"/>
      <c r="L14" s="127">
        <v>0</v>
      </c>
      <c r="M14" s="124"/>
      <c r="N14" s="124">
        <v>7956</v>
      </c>
      <c r="O14" s="124"/>
      <c r="P14" s="124"/>
      <c r="Q14" s="127">
        <f t="shared" si="1"/>
        <v>0</v>
      </c>
      <c r="R14" s="124"/>
      <c r="S14" s="148">
        <v>0</v>
      </c>
      <c r="T14" s="125"/>
      <c r="U14" s="124">
        <v>18</v>
      </c>
      <c r="V14" s="124"/>
      <c r="W14" s="22"/>
      <c r="X14" s="21"/>
      <c r="Y14" s="21"/>
      <c r="Z14" s="21"/>
      <c r="AA14" s="22"/>
      <c r="AM14" s="22"/>
      <c r="AN14" s="22"/>
      <c r="AO14" s="21">
        <v>0</v>
      </c>
      <c r="AP14" s="22"/>
      <c r="AQ14" s="21"/>
      <c r="AR14" s="22"/>
      <c r="AS14" s="21">
        <v>0</v>
      </c>
      <c r="AT14" s="21"/>
      <c r="AU14" s="21"/>
      <c r="AV14" s="22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</row>
    <row r="15" spans="1:233" ht="17.649999999999999" customHeight="1" x14ac:dyDescent="0.3">
      <c r="A15" s="129" t="s">
        <v>12</v>
      </c>
      <c r="B15" s="127">
        <v>0</v>
      </c>
      <c r="C15" s="124"/>
      <c r="D15" s="130"/>
      <c r="E15" s="124">
        <v>3</v>
      </c>
      <c r="F15" s="124"/>
      <c r="G15" s="124"/>
      <c r="H15" s="130"/>
      <c r="I15" s="124">
        <f t="shared" si="0"/>
        <v>3</v>
      </c>
      <c r="J15" s="124"/>
      <c r="K15" s="130"/>
      <c r="L15" s="127">
        <v>0</v>
      </c>
      <c r="M15" s="124"/>
      <c r="N15" s="124">
        <v>4013</v>
      </c>
      <c r="O15" s="124"/>
      <c r="P15" s="124"/>
      <c r="Q15" s="127">
        <f t="shared" si="1"/>
        <v>0</v>
      </c>
      <c r="R15" s="124"/>
      <c r="S15" s="148">
        <v>0</v>
      </c>
      <c r="T15" s="125"/>
      <c r="U15" s="124">
        <v>18</v>
      </c>
      <c r="V15" s="124"/>
      <c r="W15" s="22"/>
      <c r="X15" s="21"/>
      <c r="Y15" s="21"/>
      <c r="Z15" s="21"/>
      <c r="AA15" s="22"/>
      <c r="AM15" s="22"/>
      <c r="AN15" s="22"/>
      <c r="AO15" s="21">
        <v>0</v>
      </c>
      <c r="AP15" s="22"/>
      <c r="AQ15" s="21"/>
      <c r="AR15" s="22"/>
      <c r="AS15" s="21">
        <v>0</v>
      </c>
      <c r="AT15" s="21"/>
      <c r="AU15" s="21"/>
      <c r="AV15" s="22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</row>
    <row r="16" spans="1:233" ht="17.649999999999999" customHeight="1" x14ac:dyDescent="0.3">
      <c r="A16" s="129" t="s">
        <v>13</v>
      </c>
      <c r="B16" s="124">
        <v>456</v>
      </c>
      <c r="C16" s="124"/>
      <c r="D16" s="130"/>
      <c r="E16" s="124">
        <v>3</v>
      </c>
      <c r="F16" s="124"/>
      <c r="G16" s="124"/>
      <c r="H16" s="130"/>
      <c r="I16" s="124">
        <f t="shared" si="0"/>
        <v>459</v>
      </c>
      <c r="J16" s="124"/>
      <c r="K16" s="130"/>
      <c r="L16" s="127">
        <v>0</v>
      </c>
      <c r="M16" s="124"/>
      <c r="N16" s="124">
        <v>5392</v>
      </c>
      <c r="O16" s="124"/>
      <c r="P16" s="124"/>
      <c r="Q16" s="127">
        <f t="shared" si="1"/>
        <v>0</v>
      </c>
      <c r="R16" s="124"/>
      <c r="S16" s="148">
        <v>0</v>
      </c>
      <c r="T16" s="125"/>
      <c r="U16" s="124">
        <v>17</v>
      </c>
      <c r="V16" s="124"/>
      <c r="W16" s="22"/>
      <c r="X16" s="21"/>
      <c r="Y16" s="21"/>
      <c r="Z16" s="21"/>
      <c r="AA16" s="22"/>
      <c r="AM16" s="22"/>
      <c r="AN16" s="22"/>
      <c r="AO16" s="21">
        <v>0</v>
      </c>
      <c r="AP16" s="22"/>
      <c r="AQ16" s="21"/>
      <c r="AR16" s="22"/>
      <c r="AS16" s="21">
        <v>0</v>
      </c>
      <c r="AT16" s="21"/>
      <c r="AU16" s="21"/>
      <c r="AV16" s="22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</row>
    <row r="17" spans="1:233" ht="17.649999999999999" customHeight="1" x14ac:dyDescent="0.3">
      <c r="A17" s="129" t="s">
        <v>14</v>
      </c>
      <c r="B17" s="124">
        <v>405</v>
      </c>
      <c r="C17" s="124"/>
      <c r="D17" s="130"/>
      <c r="E17" s="124">
        <v>2</v>
      </c>
      <c r="F17" s="124"/>
      <c r="G17" s="124"/>
      <c r="H17" s="130"/>
      <c r="I17" s="124">
        <f t="shared" si="0"/>
        <v>407</v>
      </c>
      <c r="J17" s="124"/>
      <c r="K17" s="130"/>
      <c r="L17" s="124">
        <v>87</v>
      </c>
      <c r="M17" s="124"/>
      <c r="N17" s="124">
        <v>5373</v>
      </c>
      <c r="O17" s="124"/>
      <c r="P17" s="124"/>
      <c r="Q17" s="127">
        <f t="shared" si="1"/>
        <v>0</v>
      </c>
      <c r="R17" s="124"/>
      <c r="S17" s="148">
        <v>0</v>
      </c>
      <c r="T17" s="125"/>
      <c r="U17" s="124">
        <v>10</v>
      </c>
      <c r="V17" s="124"/>
      <c r="W17" s="22"/>
      <c r="X17" s="21"/>
      <c r="Y17" s="21"/>
      <c r="Z17" s="21"/>
      <c r="AA17" s="22"/>
      <c r="AM17" s="22"/>
      <c r="AN17" s="22"/>
      <c r="AO17" s="21">
        <v>0</v>
      </c>
      <c r="AP17" s="22"/>
      <c r="AQ17" s="21"/>
      <c r="AR17" s="22"/>
      <c r="AS17" s="21">
        <v>0</v>
      </c>
      <c r="AT17" s="21"/>
      <c r="AU17" s="21"/>
      <c r="AV17" s="22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spans="1:233" ht="17.649999999999999" customHeight="1" x14ac:dyDescent="0.3">
      <c r="A18" s="129" t="s">
        <v>15</v>
      </c>
      <c r="B18" s="124">
        <v>285</v>
      </c>
      <c r="C18" s="124"/>
      <c r="D18" s="130"/>
      <c r="E18" s="124">
        <v>12</v>
      </c>
      <c r="F18" s="124"/>
      <c r="G18" s="124"/>
      <c r="H18" s="130"/>
      <c r="I18" s="124">
        <f t="shared" si="0"/>
        <v>297</v>
      </c>
      <c r="J18" s="124"/>
      <c r="K18" s="130"/>
      <c r="L18" s="124">
        <v>267</v>
      </c>
      <c r="M18" s="124"/>
      <c r="N18" s="124">
        <v>6815</v>
      </c>
      <c r="O18" s="124"/>
      <c r="P18" s="124"/>
      <c r="Q18" s="127">
        <f t="shared" si="1"/>
        <v>0</v>
      </c>
      <c r="R18" s="124"/>
      <c r="S18" s="148">
        <v>0</v>
      </c>
      <c r="T18" s="125"/>
      <c r="U18" s="124">
        <v>12</v>
      </c>
      <c r="V18" s="124"/>
      <c r="W18" s="22"/>
      <c r="X18" s="21"/>
      <c r="Y18" s="21"/>
      <c r="Z18" s="21"/>
      <c r="AA18" s="22"/>
      <c r="AM18" s="22"/>
      <c r="AN18" s="22"/>
      <c r="AO18" s="21">
        <v>0</v>
      </c>
      <c r="AP18" s="22"/>
      <c r="AQ18" s="21"/>
      <c r="AR18" s="22"/>
      <c r="AS18" s="21">
        <v>0</v>
      </c>
      <c r="AT18" s="21"/>
      <c r="AU18" s="21"/>
      <c r="AV18" s="22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</row>
    <row r="19" spans="1:233" ht="17.649999999999999" customHeight="1" x14ac:dyDescent="0.3">
      <c r="A19" s="129" t="s">
        <v>16</v>
      </c>
      <c r="B19" s="127">
        <v>0</v>
      </c>
      <c r="C19" s="124"/>
      <c r="D19" s="130"/>
      <c r="E19" s="127">
        <v>0</v>
      </c>
      <c r="F19" s="124"/>
      <c r="G19" s="124"/>
      <c r="H19" s="130"/>
      <c r="I19" s="124">
        <f t="shared" si="0"/>
        <v>0</v>
      </c>
      <c r="J19" s="124"/>
      <c r="K19" s="130"/>
      <c r="L19" s="124">
        <v>401</v>
      </c>
      <c r="M19" s="124"/>
      <c r="N19" s="124">
        <v>7398</v>
      </c>
      <c r="O19" s="124"/>
      <c r="P19" s="124"/>
      <c r="Q19" s="124">
        <v>63</v>
      </c>
      <c r="R19" s="124"/>
      <c r="S19" s="148">
        <v>0</v>
      </c>
      <c r="T19" s="125"/>
      <c r="U19" s="124">
        <v>23</v>
      </c>
      <c r="V19" s="124"/>
      <c r="W19" s="22"/>
      <c r="X19" s="21"/>
      <c r="Y19" s="21"/>
      <c r="Z19" s="21"/>
      <c r="AA19" s="22"/>
      <c r="AM19" s="22"/>
      <c r="AN19" s="22"/>
      <c r="AO19" s="21">
        <v>6</v>
      </c>
      <c r="AP19" s="22"/>
      <c r="AQ19" s="21"/>
      <c r="AR19" s="22"/>
      <c r="AS19" s="21">
        <v>57</v>
      </c>
      <c r="AT19" s="21"/>
      <c r="AU19" s="21"/>
      <c r="AV19" s="22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pans="1:233" ht="17.649999999999999" customHeight="1" x14ac:dyDescent="0.3">
      <c r="A20" s="129" t="s">
        <v>17</v>
      </c>
      <c r="B20" s="127">
        <v>0</v>
      </c>
      <c r="C20" s="124"/>
      <c r="D20" s="130"/>
      <c r="E20" s="127">
        <v>0</v>
      </c>
      <c r="F20" s="124"/>
      <c r="G20" s="124"/>
      <c r="H20" s="130"/>
      <c r="I20" s="124">
        <f t="shared" si="0"/>
        <v>0</v>
      </c>
      <c r="J20" s="124"/>
      <c r="K20" s="130"/>
      <c r="L20" s="124">
        <v>414</v>
      </c>
      <c r="M20" s="124"/>
      <c r="N20" s="124">
        <v>7243</v>
      </c>
      <c r="O20" s="124"/>
      <c r="P20" s="124"/>
      <c r="Q20" s="124">
        <v>9</v>
      </c>
      <c r="R20" s="124"/>
      <c r="S20" s="124">
        <v>22</v>
      </c>
      <c r="T20" s="125"/>
      <c r="U20" s="124">
        <v>28</v>
      </c>
      <c r="V20" s="124"/>
      <c r="W20" s="22"/>
      <c r="X20" s="21"/>
      <c r="Y20" s="21"/>
      <c r="Z20" s="21"/>
      <c r="AA20" s="22"/>
      <c r="AM20" s="22"/>
      <c r="AN20" s="22"/>
      <c r="AO20" s="21">
        <v>0</v>
      </c>
      <c r="AP20" s="22"/>
      <c r="AQ20" s="21"/>
      <c r="AR20" s="22"/>
      <c r="AS20" s="21">
        <v>9</v>
      </c>
      <c r="AT20" s="21"/>
      <c r="AU20" s="21"/>
      <c r="AV20" s="22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pans="1:233" ht="17.649999999999999" customHeight="1" x14ac:dyDescent="0.3">
      <c r="A21" s="129" t="s">
        <v>18</v>
      </c>
      <c r="B21" s="127">
        <v>0</v>
      </c>
      <c r="C21" s="124"/>
      <c r="D21" s="130"/>
      <c r="E21" s="127">
        <v>0</v>
      </c>
      <c r="F21" s="124"/>
      <c r="G21" s="124"/>
      <c r="H21" s="130"/>
      <c r="I21" s="124">
        <f t="shared" si="0"/>
        <v>0</v>
      </c>
      <c r="J21" s="124"/>
      <c r="K21" s="130"/>
      <c r="L21" s="124">
        <v>381</v>
      </c>
      <c r="M21" s="124"/>
      <c r="N21" s="124">
        <v>7372</v>
      </c>
      <c r="O21" s="124"/>
      <c r="P21" s="124"/>
      <c r="Q21" s="124">
        <v>22</v>
      </c>
      <c r="R21" s="124"/>
      <c r="S21" s="124">
        <v>29</v>
      </c>
      <c r="T21" s="124"/>
      <c r="U21" s="124">
        <v>30</v>
      </c>
      <c r="V21" s="124"/>
      <c r="W21" s="22"/>
      <c r="X21" s="21"/>
      <c r="Y21" s="21"/>
      <c r="Z21" s="21"/>
      <c r="AA21" s="22"/>
      <c r="AM21" s="22"/>
      <c r="AN21" s="22"/>
      <c r="AO21" s="21">
        <v>0</v>
      </c>
      <c r="AP21" s="22"/>
      <c r="AQ21" s="21"/>
      <c r="AR21" s="22"/>
      <c r="AS21" s="21">
        <v>0</v>
      </c>
      <c r="AT21" s="21"/>
      <c r="AU21" s="21"/>
      <c r="AV21" s="22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pans="1:233" ht="17.649999999999999" customHeight="1" x14ac:dyDescent="0.3">
      <c r="A22" s="129" t="s">
        <v>19</v>
      </c>
      <c r="B22" s="128">
        <v>0</v>
      </c>
      <c r="C22" s="124"/>
      <c r="D22" s="130"/>
      <c r="E22" s="128">
        <v>0</v>
      </c>
      <c r="F22" s="124"/>
      <c r="G22" s="124"/>
      <c r="H22" s="130"/>
      <c r="I22" s="124">
        <f t="shared" si="0"/>
        <v>0</v>
      </c>
      <c r="J22" s="124"/>
      <c r="K22" s="130"/>
      <c r="L22" s="124">
        <v>498</v>
      </c>
      <c r="M22" s="124"/>
      <c r="N22" s="124">
        <v>10631</v>
      </c>
      <c r="O22" s="124"/>
      <c r="P22" s="124"/>
      <c r="Q22" s="124">
        <v>17</v>
      </c>
      <c r="R22" s="124"/>
      <c r="S22" s="124">
        <v>31</v>
      </c>
      <c r="T22" s="124"/>
      <c r="U22" s="124">
        <v>30</v>
      </c>
      <c r="V22" s="124"/>
      <c r="W22" s="22"/>
      <c r="X22" s="21"/>
      <c r="Y22" s="21"/>
      <c r="Z22" s="21"/>
      <c r="AA22" s="22"/>
      <c r="AM22" s="22"/>
      <c r="AN22" s="22"/>
      <c r="AO22" s="21">
        <v>0</v>
      </c>
      <c r="AP22" s="22"/>
      <c r="AQ22" s="21"/>
      <c r="AR22" s="22"/>
      <c r="AS22" s="21">
        <v>0</v>
      </c>
      <c r="AT22" s="21"/>
      <c r="AU22" s="21"/>
      <c r="AV22" s="22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pans="1:233" ht="17.649999999999999" customHeight="1" x14ac:dyDescent="0.3">
      <c r="A23" s="129" t="s">
        <v>20</v>
      </c>
      <c r="B23" s="128">
        <v>0</v>
      </c>
      <c r="C23" s="124"/>
      <c r="D23" s="130"/>
      <c r="E23" s="128">
        <v>0</v>
      </c>
      <c r="F23" s="124"/>
      <c r="G23" s="124"/>
      <c r="H23" s="130"/>
      <c r="I23" s="124">
        <f t="shared" si="0"/>
        <v>0</v>
      </c>
      <c r="J23" s="124"/>
      <c r="K23" s="130"/>
      <c r="L23" s="124">
        <v>661</v>
      </c>
      <c r="M23" s="124"/>
      <c r="N23" s="124">
        <v>10716</v>
      </c>
      <c r="O23" s="124"/>
      <c r="P23" s="124"/>
      <c r="Q23" s="124">
        <v>26</v>
      </c>
      <c r="R23" s="124"/>
      <c r="S23" s="124">
        <v>30</v>
      </c>
      <c r="T23" s="124"/>
      <c r="U23" s="124">
        <v>30</v>
      </c>
      <c r="V23" s="124"/>
      <c r="W23" s="22"/>
      <c r="X23" s="21"/>
      <c r="Y23" s="21"/>
      <c r="Z23" s="21"/>
      <c r="AA23" s="22"/>
      <c r="AM23" s="22"/>
      <c r="AN23" s="22"/>
      <c r="AO23" s="21">
        <v>0</v>
      </c>
      <c r="AP23" s="22"/>
      <c r="AQ23" s="21"/>
      <c r="AR23" s="22"/>
      <c r="AS23" s="21">
        <v>0</v>
      </c>
      <c r="AT23" s="21"/>
      <c r="AU23" s="21"/>
      <c r="AV23" s="22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pans="1:233" ht="17.649999999999999" customHeight="1" x14ac:dyDescent="0.3">
      <c r="A24" s="129" t="s">
        <v>21</v>
      </c>
      <c r="B24" s="128">
        <v>0</v>
      </c>
      <c r="C24" s="124"/>
      <c r="D24" s="130"/>
      <c r="E24" s="128">
        <v>0</v>
      </c>
      <c r="F24" s="124"/>
      <c r="G24" s="124"/>
      <c r="H24" s="130"/>
      <c r="I24" s="124">
        <f t="shared" si="0"/>
        <v>0</v>
      </c>
      <c r="J24" s="124"/>
      <c r="K24" s="130"/>
      <c r="L24" s="124">
        <v>657</v>
      </c>
      <c r="M24" s="124"/>
      <c r="N24" s="124">
        <v>6792</v>
      </c>
      <c r="O24" s="124"/>
      <c r="P24" s="124"/>
      <c r="Q24" s="124">
        <v>12</v>
      </c>
      <c r="R24" s="124"/>
      <c r="S24" s="124">
        <v>33</v>
      </c>
      <c r="T24" s="124"/>
      <c r="U24" s="124">
        <v>28</v>
      </c>
      <c r="V24" s="124"/>
      <c r="W24" s="22"/>
      <c r="X24" s="21"/>
      <c r="Y24" s="21"/>
      <c r="Z24" s="21"/>
      <c r="AA24" s="22"/>
      <c r="AM24" s="22"/>
      <c r="AN24" s="22"/>
      <c r="AO24" s="21">
        <v>0</v>
      </c>
      <c r="AP24" s="22"/>
      <c r="AQ24" s="21"/>
      <c r="AR24" s="22"/>
      <c r="AS24" s="21">
        <v>0</v>
      </c>
      <c r="AT24" s="21"/>
      <c r="AU24" s="21"/>
      <c r="AV24" s="22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pans="1:233" ht="17.649999999999999" customHeight="1" x14ac:dyDescent="0.3">
      <c r="A25" s="142" t="s">
        <v>22</v>
      </c>
      <c r="B25" s="128">
        <v>0</v>
      </c>
      <c r="C25" s="124"/>
      <c r="D25" s="130"/>
      <c r="E25" s="128">
        <v>0</v>
      </c>
      <c r="F25" s="124"/>
      <c r="G25" s="124" t="s">
        <v>23</v>
      </c>
      <c r="H25" s="124"/>
      <c r="I25" s="124">
        <f t="shared" si="0"/>
        <v>0</v>
      </c>
      <c r="J25" s="124" t="s">
        <v>23</v>
      </c>
      <c r="K25" s="124"/>
      <c r="L25" s="124">
        <v>671</v>
      </c>
      <c r="M25" s="124"/>
      <c r="N25" s="124">
        <v>6651</v>
      </c>
      <c r="O25" s="124"/>
      <c r="P25" s="124"/>
      <c r="Q25" s="124">
        <v>12</v>
      </c>
      <c r="R25" s="124"/>
      <c r="S25" s="124">
        <v>42</v>
      </c>
      <c r="T25" s="124"/>
      <c r="U25" s="124">
        <v>30</v>
      </c>
      <c r="V25" s="124"/>
      <c r="W25" s="22"/>
      <c r="X25" s="21"/>
      <c r="Y25" s="21"/>
      <c r="Z25" s="21"/>
      <c r="AA25" s="22"/>
      <c r="AM25" s="22"/>
      <c r="AN25" s="30"/>
      <c r="AO25" s="21">
        <v>0</v>
      </c>
      <c r="AP25" s="30"/>
      <c r="AQ25" s="30"/>
      <c r="AR25" s="30"/>
      <c r="AS25" s="21">
        <v>0</v>
      </c>
      <c r="AT25" s="30"/>
      <c r="AU25" s="30"/>
      <c r="AV25" s="30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pans="1:233" ht="17.649999999999999" customHeight="1" x14ac:dyDescent="0.3">
      <c r="A26" s="142" t="s">
        <v>24</v>
      </c>
      <c r="B26" s="128">
        <v>0</v>
      </c>
      <c r="C26" s="124"/>
      <c r="D26" s="124"/>
      <c r="E26" s="128">
        <v>0</v>
      </c>
      <c r="F26" s="124"/>
      <c r="G26" s="124"/>
      <c r="H26" s="124"/>
      <c r="I26" s="124">
        <f t="shared" si="0"/>
        <v>0</v>
      </c>
      <c r="J26" s="124"/>
      <c r="K26" s="124"/>
      <c r="L26" s="124">
        <v>899</v>
      </c>
      <c r="M26" s="124"/>
      <c r="N26" s="124">
        <v>10000</v>
      </c>
      <c r="O26" s="124"/>
      <c r="P26" s="124"/>
      <c r="Q26" s="124">
        <v>24</v>
      </c>
      <c r="R26" s="124"/>
      <c r="S26" s="124">
        <v>36</v>
      </c>
      <c r="T26" s="124"/>
      <c r="U26" s="124">
        <v>29</v>
      </c>
      <c r="V26" s="124"/>
      <c r="W26" s="21"/>
      <c r="X26" s="21"/>
      <c r="Y26" s="21"/>
      <c r="Z26" s="21"/>
      <c r="AA26" s="21"/>
      <c r="AM26" s="30"/>
      <c r="AN26" s="30"/>
      <c r="AO26" s="21">
        <v>0</v>
      </c>
      <c r="AP26" s="30"/>
      <c r="AQ26" s="30"/>
      <c r="AR26" s="30"/>
      <c r="AS26" s="21">
        <v>0</v>
      </c>
      <c r="AT26" s="30"/>
      <c r="AU26" s="30"/>
      <c r="AV26" s="30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17.649999999999999" customHeight="1" x14ac:dyDescent="0.3">
      <c r="A27" s="129" t="s">
        <v>25</v>
      </c>
      <c r="B27" s="128">
        <v>0</v>
      </c>
      <c r="C27" s="124"/>
      <c r="D27" s="124"/>
      <c r="E27" s="128">
        <v>0</v>
      </c>
      <c r="F27" s="124"/>
      <c r="G27" s="124"/>
      <c r="H27" s="130"/>
      <c r="I27" s="124">
        <f t="shared" si="0"/>
        <v>0</v>
      </c>
      <c r="J27" s="124"/>
      <c r="K27" s="130"/>
      <c r="L27" s="124">
        <v>816</v>
      </c>
      <c r="M27" s="124"/>
      <c r="N27" s="124">
        <v>7352</v>
      </c>
      <c r="O27" s="124"/>
      <c r="P27" s="124"/>
      <c r="Q27" s="124">
        <v>16</v>
      </c>
      <c r="R27" s="124"/>
      <c r="S27" s="124">
        <v>40</v>
      </c>
      <c r="T27" s="124"/>
      <c r="U27" s="124">
        <v>29</v>
      </c>
      <c r="V27" s="124"/>
      <c r="W27" s="21"/>
      <c r="X27" s="21"/>
      <c r="Y27" s="21"/>
      <c r="Z27" s="21"/>
      <c r="AA27" s="22"/>
      <c r="AM27" s="22"/>
      <c r="AN27" s="22"/>
      <c r="AO27" s="21">
        <v>0</v>
      </c>
      <c r="AP27" s="22"/>
      <c r="AQ27" s="21"/>
      <c r="AR27" s="22"/>
      <c r="AS27" s="21">
        <v>0</v>
      </c>
      <c r="AT27" s="21"/>
      <c r="AU27" s="21"/>
      <c r="AV27" s="22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spans="1:233" ht="17.649999999999999" customHeight="1" x14ac:dyDescent="0.3">
      <c r="A28" s="129">
        <v>2002</v>
      </c>
      <c r="B28" s="124">
        <v>720</v>
      </c>
      <c r="C28" s="124"/>
      <c r="D28" s="124"/>
      <c r="E28" s="128">
        <v>0</v>
      </c>
      <c r="F28" s="124"/>
      <c r="G28" s="124"/>
      <c r="H28" s="130"/>
      <c r="I28" s="124">
        <f t="shared" si="0"/>
        <v>720</v>
      </c>
      <c r="J28" s="124"/>
      <c r="K28" s="130"/>
      <c r="L28" s="124">
        <v>1201</v>
      </c>
      <c r="M28" s="124"/>
      <c r="N28" s="124">
        <v>7528</v>
      </c>
      <c r="O28" s="124"/>
      <c r="P28" s="124"/>
      <c r="Q28" s="124">
        <v>15</v>
      </c>
      <c r="R28" s="124"/>
      <c r="S28" s="124">
        <v>62</v>
      </c>
      <c r="T28" s="124"/>
      <c r="U28" s="124">
        <v>31</v>
      </c>
      <c r="V28" s="124"/>
      <c r="W28" s="21"/>
      <c r="X28" s="21"/>
      <c r="Y28" s="21"/>
      <c r="Z28" s="21"/>
      <c r="AA28" s="22"/>
      <c r="AM28" s="22"/>
      <c r="AN28" s="22"/>
      <c r="AO28" s="21">
        <v>0</v>
      </c>
      <c r="AP28" s="22"/>
      <c r="AQ28" s="21"/>
      <c r="AR28" s="22"/>
      <c r="AS28" s="21">
        <v>0</v>
      </c>
      <c r="AT28" s="21"/>
      <c r="AU28" s="21"/>
      <c r="AV28" s="22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</row>
    <row r="29" spans="1:233" ht="17.649999999999999" customHeight="1" x14ac:dyDescent="0.3">
      <c r="A29" s="129" t="s">
        <v>26</v>
      </c>
      <c r="B29" s="124">
        <v>-720</v>
      </c>
      <c r="C29" s="124"/>
      <c r="D29" s="130"/>
      <c r="E29" s="128">
        <v>0</v>
      </c>
      <c r="F29" s="124"/>
      <c r="G29" s="124"/>
      <c r="H29" s="130"/>
      <c r="I29" s="124">
        <f t="shared" si="0"/>
        <v>-720</v>
      </c>
      <c r="J29" s="124"/>
      <c r="K29" s="130"/>
      <c r="L29" s="124">
        <f>1149+130</f>
        <v>1279</v>
      </c>
      <c r="M29" s="124"/>
      <c r="N29" s="124">
        <v>9746</v>
      </c>
      <c r="O29" s="124"/>
      <c r="P29" s="124"/>
      <c r="Q29" s="124">
        <v>13</v>
      </c>
      <c r="R29" s="124"/>
      <c r="S29" s="124">
        <v>89</v>
      </c>
      <c r="T29" s="124"/>
      <c r="U29" s="124">
        <v>30</v>
      </c>
      <c r="V29" s="124"/>
      <c r="W29" s="22"/>
      <c r="X29" s="21"/>
      <c r="Y29" s="21"/>
      <c r="Z29" s="21"/>
      <c r="AA29" s="22"/>
      <c r="AM29" s="22"/>
      <c r="AN29" s="22"/>
      <c r="AO29" s="21" t="e">
        <f>ROUND(#REF!*[2]Manual_Input!$O$19,6)</f>
        <v>#REF!</v>
      </c>
      <c r="AP29" s="22"/>
      <c r="AQ29" s="21"/>
      <c r="AR29" s="22"/>
      <c r="AS29" s="21" t="e">
        <f>ROUND(#REF!*[2]Manual_Input!$O$19,6)</f>
        <v>#REF!</v>
      </c>
      <c r="AT29" s="21"/>
      <c r="AU29" s="21"/>
      <c r="AV29" s="22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spans="1:233" ht="17.649999999999999" customHeight="1" x14ac:dyDescent="0.3">
      <c r="A30" s="129">
        <v>2004</v>
      </c>
      <c r="B30" s="128">
        <v>0</v>
      </c>
      <c r="C30" s="124"/>
      <c r="D30" s="130"/>
      <c r="E30" s="128">
        <v>0</v>
      </c>
      <c r="F30" s="124"/>
      <c r="G30" s="124"/>
      <c r="H30" s="130"/>
      <c r="I30" s="124">
        <f t="shared" si="0"/>
        <v>0</v>
      </c>
      <c r="J30" s="124"/>
      <c r="K30" s="130"/>
      <c r="L30" s="124">
        <v>991</v>
      </c>
      <c r="M30" s="124"/>
      <c r="N30" s="124">
        <v>12610</v>
      </c>
      <c r="O30" s="124"/>
      <c r="P30" s="124"/>
      <c r="Q30" s="124">
        <v>25</v>
      </c>
      <c r="R30" s="124"/>
      <c r="S30" s="124">
        <v>71</v>
      </c>
      <c r="T30" s="125"/>
      <c r="U30" s="124">
        <v>29</v>
      </c>
      <c r="V30" s="124"/>
      <c r="W30" s="22"/>
      <c r="X30" s="21"/>
      <c r="Y30" s="21"/>
      <c r="Z30" s="21"/>
      <c r="AA30" s="22"/>
      <c r="AM30" s="22"/>
      <c r="AN30" s="22"/>
      <c r="AO30" s="21">
        <v>0</v>
      </c>
      <c r="AP30" s="22"/>
      <c r="AQ30" s="21"/>
      <c r="AR30" s="22"/>
      <c r="AS30" s="21">
        <v>0</v>
      </c>
      <c r="AT30" s="21"/>
      <c r="AU30" s="21"/>
      <c r="AV30" s="22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pans="1:233" ht="17.649999999999999" customHeight="1" x14ac:dyDescent="0.3">
      <c r="A31" s="129">
        <v>2005</v>
      </c>
      <c r="B31" s="128">
        <v>0</v>
      </c>
      <c r="C31" s="124"/>
      <c r="D31" s="130"/>
      <c r="E31" s="128">
        <v>0</v>
      </c>
      <c r="F31" s="124"/>
      <c r="G31" s="124"/>
      <c r="H31" s="130"/>
      <c r="I31" s="124">
        <f t="shared" si="0"/>
        <v>0</v>
      </c>
      <c r="J31" s="124"/>
      <c r="K31" s="130"/>
      <c r="L31" s="124">
        <v>942</v>
      </c>
      <c r="M31" s="124"/>
      <c r="N31" s="124">
        <v>11766</v>
      </c>
      <c r="O31" s="124"/>
      <c r="P31" s="124"/>
      <c r="Q31" s="124">
        <v>33</v>
      </c>
      <c r="R31" s="124"/>
      <c r="S31" s="124">
        <v>54</v>
      </c>
      <c r="T31" s="125"/>
      <c r="U31" s="124">
        <v>24</v>
      </c>
      <c r="V31" s="124"/>
      <c r="W31" s="22"/>
      <c r="X31" s="21"/>
      <c r="Y31" s="21"/>
      <c r="Z31" s="21"/>
      <c r="AA31" s="22"/>
      <c r="AM31" s="22"/>
      <c r="AN31" s="22"/>
      <c r="AO31" s="21" t="e">
        <f>ROUND(#REF!*[2]Manual_Input!$O$19,6)</f>
        <v>#REF!</v>
      </c>
      <c r="AP31" s="22"/>
      <c r="AQ31" s="21"/>
      <c r="AR31" s="22"/>
      <c r="AS31" s="21" t="e">
        <f>ROUND(#REF!*[2]Manual_Input!$O$19,6)</f>
        <v>#REF!</v>
      </c>
      <c r="AT31" s="21"/>
      <c r="AU31" s="21"/>
      <c r="AV31" s="22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pans="1:233" ht="17.649999999999999" customHeight="1" x14ac:dyDescent="0.3">
      <c r="A32" s="129">
        <v>2006</v>
      </c>
      <c r="B32" s="128">
        <v>0</v>
      </c>
      <c r="C32" s="124"/>
      <c r="D32" s="130"/>
      <c r="E32" s="128">
        <v>0</v>
      </c>
      <c r="F32" s="124"/>
      <c r="G32" s="124"/>
      <c r="H32" s="130"/>
      <c r="I32" s="124">
        <f t="shared" si="0"/>
        <v>0</v>
      </c>
      <c r="J32" s="124"/>
      <c r="K32" s="130"/>
      <c r="L32" s="124">
        <v>886</v>
      </c>
      <c r="M32" s="124"/>
      <c r="N32" s="124">
        <v>6401</v>
      </c>
      <c r="O32" s="124"/>
      <c r="P32" s="124"/>
      <c r="Q32" s="124">
        <v>40</v>
      </c>
      <c r="R32" s="124"/>
      <c r="S32" s="124">
        <v>75</v>
      </c>
      <c r="T32" s="125"/>
      <c r="U32" s="124">
        <v>28</v>
      </c>
      <c r="V32" s="124"/>
      <c r="W32" s="22"/>
      <c r="X32" s="21"/>
      <c r="Y32" s="21"/>
      <c r="Z32" s="21"/>
      <c r="AA32" s="22"/>
      <c r="AM32" s="22"/>
      <c r="AN32" s="22"/>
      <c r="AO32" s="21" t="e">
        <f>ROUND(#REF!*[2]Manual_Input!$O$21,6)</f>
        <v>#REF!</v>
      </c>
      <c r="AP32" s="22"/>
      <c r="AQ32" s="21"/>
      <c r="AR32" s="22"/>
      <c r="AS32" s="21" t="e">
        <f>ROUND(#REF!*[2]Manual_Input!$O$21,6)</f>
        <v>#REF!</v>
      </c>
      <c r="AT32" s="21"/>
      <c r="AU32" s="21"/>
      <c r="AV32" s="22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33" spans="1:233" ht="17.649999999999999" customHeight="1" x14ac:dyDescent="0.3">
      <c r="A33" s="129">
        <v>2007</v>
      </c>
      <c r="B33" s="127">
        <v>0</v>
      </c>
      <c r="C33" s="124"/>
      <c r="D33" s="130"/>
      <c r="E33" s="127">
        <v>0</v>
      </c>
      <c r="F33" s="124"/>
      <c r="G33" s="124"/>
      <c r="H33" s="130"/>
      <c r="I33" s="124">
        <f t="shared" si="0"/>
        <v>0</v>
      </c>
      <c r="J33" s="124"/>
      <c r="K33" s="130"/>
      <c r="L33" s="124">
        <v>684</v>
      </c>
      <c r="M33" s="124"/>
      <c r="N33" s="124">
        <v>6534</v>
      </c>
      <c r="O33" s="124"/>
      <c r="P33" s="124"/>
      <c r="Q33" s="124">
        <v>44</v>
      </c>
      <c r="R33" s="124"/>
      <c r="S33" s="124">
        <v>84</v>
      </c>
      <c r="T33" s="125"/>
      <c r="U33" s="124">
        <v>25</v>
      </c>
      <c r="V33" s="124"/>
      <c r="W33" s="22"/>
      <c r="X33" s="21"/>
      <c r="Y33" s="21"/>
      <c r="Z33" s="21"/>
      <c r="AA33" s="22"/>
      <c r="AM33" s="22"/>
      <c r="AN33" s="22"/>
      <c r="AO33" s="21" t="e">
        <f>ROUND(#REF!*[2]Manual_Input!$O$21,6)</f>
        <v>#REF!</v>
      </c>
      <c r="AP33" s="22"/>
      <c r="AQ33" s="21"/>
      <c r="AR33" s="22"/>
      <c r="AS33" s="21" t="e">
        <f>ROUND(#REF!*[2]Manual_Input!$O$21,6)</f>
        <v>#REF!</v>
      </c>
      <c r="AT33" s="21"/>
      <c r="AU33" s="21"/>
      <c r="AV33" s="22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</row>
    <row r="34" spans="1:233" ht="17.649999999999999" customHeight="1" x14ac:dyDescent="0.3">
      <c r="A34" s="129" t="s">
        <v>28</v>
      </c>
      <c r="B34" s="128">
        <v>0</v>
      </c>
      <c r="C34" s="124"/>
      <c r="D34" s="130"/>
      <c r="E34" s="128">
        <v>0</v>
      </c>
      <c r="F34" s="124"/>
      <c r="G34" s="124"/>
      <c r="H34" s="130"/>
      <c r="I34" s="124">
        <f t="shared" si="0"/>
        <v>0</v>
      </c>
      <c r="J34" s="124"/>
      <c r="K34" s="130"/>
      <c r="L34" s="124">
        <v>821</v>
      </c>
      <c r="M34" s="124"/>
      <c r="N34" s="124">
        <v>7013</v>
      </c>
      <c r="O34" s="124"/>
      <c r="P34" s="124"/>
      <c r="Q34" s="124">
        <v>34</v>
      </c>
      <c r="R34" s="124"/>
      <c r="S34" s="124">
        <v>217</v>
      </c>
      <c r="T34" s="125"/>
      <c r="U34" s="124">
        <v>24</v>
      </c>
      <c r="V34" s="124"/>
      <c r="W34" s="22"/>
      <c r="X34" s="21"/>
      <c r="Y34" s="21"/>
      <c r="Z34" s="21"/>
      <c r="AA34" s="22"/>
      <c r="AM34" s="22"/>
      <c r="AN34" s="22"/>
      <c r="AO34" s="21" t="e">
        <f>ROUND(#REF!*[2]Manual_Input!$O$21,6)</f>
        <v>#REF!</v>
      </c>
      <c r="AP34" s="22"/>
      <c r="AQ34" s="21"/>
      <c r="AR34" s="22"/>
      <c r="AS34" s="21" t="e">
        <f>ROUND(#REF!*[2]Manual_Input!$O$21,6)</f>
        <v>#REF!</v>
      </c>
      <c r="AT34" s="21"/>
      <c r="AU34" s="21"/>
      <c r="AV34" s="22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</row>
    <row r="35" spans="1:233" ht="17.649999999999999" customHeight="1" x14ac:dyDescent="0.3">
      <c r="A35" s="129" t="s">
        <v>29</v>
      </c>
      <c r="B35" s="128">
        <v>0</v>
      </c>
      <c r="C35" s="124"/>
      <c r="D35" s="130"/>
      <c r="E35" s="128">
        <v>0</v>
      </c>
      <c r="F35" s="124"/>
      <c r="G35" s="124"/>
      <c r="H35" s="130"/>
      <c r="I35" s="124">
        <f t="shared" si="0"/>
        <v>0</v>
      </c>
      <c r="J35" s="124"/>
      <c r="K35" s="130"/>
      <c r="L35" s="124">
        <v>550</v>
      </c>
      <c r="M35" s="124"/>
      <c r="N35" s="124">
        <v>9179</v>
      </c>
      <c r="O35" s="124"/>
      <c r="P35" s="124"/>
      <c r="Q35" s="124">
        <v>12</v>
      </c>
      <c r="R35" s="124"/>
      <c r="S35" s="124">
        <v>142</v>
      </c>
      <c r="T35" s="125"/>
      <c r="U35" s="124">
        <v>20</v>
      </c>
      <c r="V35" s="124"/>
      <c r="W35" s="22"/>
      <c r="X35" s="21"/>
      <c r="Y35" s="21"/>
      <c r="Z35" s="21"/>
      <c r="AA35" s="22"/>
      <c r="AM35" s="22"/>
      <c r="AN35" s="22"/>
      <c r="AO35" s="21" t="e">
        <f>ROUND(#REF!*[2]Manual_Input!$O$21,6)</f>
        <v>#REF!</v>
      </c>
      <c r="AP35" s="22"/>
      <c r="AQ35" s="21"/>
      <c r="AR35" s="22"/>
      <c r="AS35" s="21" t="e">
        <f>ROUND(#REF!*[2]Manual_Input!$O$21,6)</f>
        <v>#REF!</v>
      </c>
      <c r="AT35" s="21"/>
      <c r="AU35" s="21"/>
      <c r="AV35" s="22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</row>
    <row r="36" spans="1:233" ht="17.649999999999999" customHeight="1" x14ac:dyDescent="0.3">
      <c r="A36" s="149" t="s">
        <v>30</v>
      </c>
      <c r="B36" s="128">
        <v>0</v>
      </c>
      <c r="C36" s="124"/>
      <c r="D36" s="130"/>
      <c r="E36" s="128">
        <v>0</v>
      </c>
      <c r="F36" s="124"/>
      <c r="G36" s="124"/>
      <c r="H36" s="130"/>
      <c r="I36" s="124">
        <f t="shared" si="0"/>
        <v>0</v>
      </c>
      <c r="J36" s="124"/>
      <c r="K36" s="130"/>
      <c r="L36" s="124">
        <v>589</v>
      </c>
      <c r="M36" s="124"/>
      <c r="N36" s="124">
        <v>7618</v>
      </c>
      <c r="O36" s="124"/>
      <c r="P36" s="124"/>
      <c r="Q36" s="124">
        <v>6</v>
      </c>
      <c r="R36" s="124"/>
      <c r="S36" s="124">
        <v>269</v>
      </c>
      <c r="T36" s="125"/>
      <c r="U36" s="124">
        <v>28</v>
      </c>
      <c r="V36" s="124"/>
      <c r="W36" s="22"/>
      <c r="X36" s="21"/>
      <c r="Y36" s="21"/>
      <c r="Z36" s="21"/>
      <c r="AA36" s="22"/>
      <c r="AM36" s="22"/>
      <c r="AN36" s="22"/>
      <c r="AO36" s="21" t="e">
        <f>ROUND(#REF!*[2]Manual_Input!$O$21,6)</f>
        <v>#REF!</v>
      </c>
      <c r="AP36" s="22"/>
      <c r="AQ36" s="21"/>
      <c r="AR36" s="22"/>
      <c r="AS36" s="21" t="e">
        <f>ROUND(#REF!*[2]Manual_Input!$O$21,6)</f>
        <v>#REF!</v>
      </c>
      <c r="AT36" s="21"/>
      <c r="AU36" s="21"/>
      <c r="AV36" s="22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</row>
    <row r="37" spans="1:233" ht="17.649999999999999" customHeight="1" x14ac:dyDescent="0.3">
      <c r="A37" s="149" t="s">
        <v>31</v>
      </c>
      <c r="B37" s="128">
        <v>0</v>
      </c>
      <c r="C37" s="124"/>
      <c r="D37" s="130"/>
      <c r="E37" s="128">
        <v>0</v>
      </c>
      <c r="F37" s="124"/>
      <c r="G37" s="124"/>
      <c r="H37" s="130"/>
      <c r="I37" s="124">
        <f t="shared" si="0"/>
        <v>0</v>
      </c>
      <c r="J37" s="124"/>
      <c r="K37" s="130"/>
      <c r="L37" s="124">
        <v>983</v>
      </c>
      <c r="M37" s="124"/>
      <c r="N37" s="124">
        <v>4946</v>
      </c>
      <c r="O37" s="124"/>
      <c r="P37" s="124"/>
      <c r="Q37" s="124">
        <v>25</v>
      </c>
      <c r="R37" s="124"/>
      <c r="S37" s="124">
        <v>258</v>
      </c>
      <c r="T37" s="125"/>
      <c r="U37" s="124">
        <v>25</v>
      </c>
      <c r="V37" s="124"/>
      <c r="W37" s="22"/>
      <c r="X37" s="21"/>
      <c r="Y37" s="21"/>
      <c r="Z37" s="21"/>
      <c r="AA37" s="22"/>
      <c r="AM37" s="22"/>
      <c r="AN37" s="22"/>
      <c r="AO37" s="21"/>
      <c r="AP37" s="22"/>
      <c r="AQ37" s="21"/>
      <c r="AR37" s="22"/>
      <c r="AS37" s="21"/>
      <c r="AT37" s="21"/>
      <c r="AU37" s="21"/>
      <c r="AV37" s="22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</row>
    <row r="38" spans="1:233" ht="17.649999999999999" customHeight="1" x14ac:dyDescent="0.3">
      <c r="A38" s="149" t="s">
        <v>32</v>
      </c>
      <c r="B38" s="128">
        <v>0</v>
      </c>
      <c r="C38" s="124"/>
      <c r="D38" s="130"/>
      <c r="E38" s="128">
        <v>0</v>
      </c>
      <c r="F38" s="124"/>
      <c r="G38" s="124"/>
      <c r="H38" s="130"/>
      <c r="I38" s="124">
        <f t="shared" si="0"/>
        <v>0</v>
      </c>
      <c r="J38" s="124"/>
      <c r="K38" s="130"/>
      <c r="L38" s="124">
        <v>915</v>
      </c>
      <c r="M38" s="124"/>
      <c r="N38" s="124">
        <v>10836</v>
      </c>
      <c r="O38" s="124"/>
      <c r="P38" s="124"/>
      <c r="Q38" s="124">
        <v>19</v>
      </c>
      <c r="R38" s="124"/>
      <c r="S38" s="124">
        <v>273</v>
      </c>
      <c r="T38" s="125"/>
      <c r="U38" s="124">
        <v>22</v>
      </c>
      <c r="V38" s="124"/>
      <c r="W38" s="22"/>
      <c r="X38" s="21"/>
      <c r="Y38" s="21"/>
      <c r="Z38" s="21"/>
      <c r="AA38" s="22"/>
      <c r="AM38" s="22"/>
      <c r="AN38" s="22"/>
      <c r="AO38" s="21"/>
      <c r="AP38" s="22"/>
      <c r="AQ38" s="21"/>
      <c r="AR38" s="22"/>
      <c r="AS38" s="21"/>
      <c r="AT38" s="21"/>
      <c r="AU38" s="21"/>
      <c r="AV38" s="22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</row>
    <row r="39" spans="1:233" ht="17.649999999999999" customHeight="1" x14ac:dyDescent="0.3">
      <c r="A39" s="149" t="s">
        <v>33</v>
      </c>
      <c r="B39" s="128">
        <v>0</v>
      </c>
      <c r="C39" s="124"/>
      <c r="D39" s="130"/>
      <c r="E39" s="128">
        <v>0</v>
      </c>
      <c r="F39" s="124"/>
      <c r="G39" s="124"/>
      <c r="H39" s="130"/>
      <c r="I39" s="124">
        <f t="shared" si="0"/>
        <v>0</v>
      </c>
      <c r="J39" s="124"/>
      <c r="K39" s="130"/>
      <c r="L39" s="124">
        <v>831</v>
      </c>
      <c r="M39" s="124"/>
      <c r="N39" s="124">
        <v>9416</v>
      </c>
      <c r="O39" s="124"/>
      <c r="P39" s="124"/>
      <c r="Q39" s="124">
        <v>11</v>
      </c>
      <c r="R39" s="124"/>
      <c r="S39" s="124">
        <v>161</v>
      </c>
      <c r="T39" s="125"/>
      <c r="U39" s="124">
        <v>24</v>
      </c>
      <c r="V39" s="124"/>
      <c r="W39" s="22"/>
      <c r="X39" s="21"/>
      <c r="Y39" s="21"/>
      <c r="Z39" s="21"/>
      <c r="AA39" s="22"/>
      <c r="AM39" s="22"/>
      <c r="AN39" s="22"/>
      <c r="AO39" s="21"/>
      <c r="AP39" s="22"/>
      <c r="AQ39" s="21"/>
      <c r="AR39" s="22"/>
      <c r="AS39" s="21"/>
      <c r="AT39" s="21"/>
      <c r="AU39" s="21"/>
      <c r="AV39" s="22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</row>
    <row r="40" spans="1:233" ht="17.649999999999999" customHeight="1" x14ac:dyDescent="0.3">
      <c r="A40" s="129" t="s">
        <v>34</v>
      </c>
      <c r="B40" s="128">
        <v>0</v>
      </c>
      <c r="C40" s="124"/>
      <c r="D40" s="130"/>
      <c r="E40" s="128">
        <v>0</v>
      </c>
      <c r="F40" s="124"/>
      <c r="G40" s="124"/>
      <c r="H40" s="130"/>
      <c r="I40" s="124">
        <f t="shared" si="0"/>
        <v>0</v>
      </c>
      <c r="J40" s="124"/>
      <c r="K40" s="130"/>
      <c r="L40" s="124">
        <v>881</v>
      </c>
      <c r="M40" s="124"/>
      <c r="N40" s="124">
        <v>6680</v>
      </c>
      <c r="O40" s="124"/>
      <c r="P40" s="124"/>
      <c r="Q40" s="124">
        <v>0</v>
      </c>
      <c r="R40" s="124"/>
      <c r="S40" s="124">
        <v>197</v>
      </c>
      <c r="T40" s="125"/>
      <c r="U40" s="124">
        <v>24</v>
      </c>
      <c r="V40" s="124"/>
      <c r="W40" s="22"/>
      <c r="X40" s="21"/>
      <c r="Y40" s="21"/>
      <c r="Z40" s="21"/>
      <c r="AA40" s="22"/>
      <c r="AM40" s="22"/>
      <c r="AN40" s="22"/>
      <c r="AO40" s="21" t="e">
        <f>ROUND(#REF!*[2]Manual_Input!O$22,6)</f>
        <v>#REF!</v>
      </c>
      <c r="AP40" s="22"/>
      <c r="AQ40" s="21"/>
      <c r="AR40" s="22"/>
      <c r="AS40" s="21" t="e">
        <f>ROUND(#REF!*[2]Manual_Input!$O$22,6)</f>
        <v>#REF!</v>
      </c>
      <c r="AT40" s="21"/>
      <c r="AU40" s="21"/>
      <c r="AV40" s="22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</row>
    <row r="41" spans="1:233" ht="17.649999999999999" customHeight="1" x14ac:dyDescent="0.3">
      <c r="A41" s="129" t="s">
        <v>35</v>
      </c>
      <c r="B41" s="124">
        <v>0</v>
      </c>
      <c r="C41" s="124"/>
      <c r="D41" s="130"/>
      <c r="E41" s="124">
        <v>0</v>
      </c>
      <c r="F41" s="124"/>
      <c r="G41" s="124"/>
      <c r="H41" s="130"/>
      <c r="I41" s="124">
        <f t="shared" si="0"/>
        <v>0</v>
      </c>
      <c r="J41" s="124"/>
      <c r="K41" s="130"/>
      <c r="L41" s="124">
        <v>785</v>
      </c>
      <c r="M41" s="124"/>
      <c r="N41" s="124">
        <v>2910</v>
      </c>
      <c r="O41" s="124"/>
      <c r="P41" s="124"/>
      <c r="Q41" s="124">
        <v>0</v>
      </c>
      <c r="R41" s="124"/>
      <c r="S41" s="124">
        <v>93</v>
      </c>
      <c r="T41" s="125"/>
      <c r="U41" s="124">
        <v>20</v>
      </c>
      <c r="V41" s="124"/>
      <c r="W41" s="14"/>
      <c r="X41" s="8"/>
      <c r="Y41" s="8"/>
      <c r="Z41" s="8"/>
      <c r="AA41" s="14"/>
      <c r="AM41" s="14"/>
      <c r="AN41" s="14"/>
      <c r="AO41" s="8" t="e">
        <f>ROUND(#REF!*[2]Manual_Input!O$22,6)</f>
        <v>#REF!</v>
      </c>
      <c r="AP41" s="14"/>
      <c r="AQ41" s="8"/>
      <c r="AR41" s="14"/>
      <c r="AS41" s="8" t="e">
        <f>ROUND(#REF!*[2]Manual_Input!$O$22,6)</f>
        <v>#REF!</v>
      </c>
      <c r="AT41" s="8"/>
      <c r="AU41" s="8"/>
      <c r="AV41" s="14"/>
    </row>
    <row r="42" spans="1:233" ht="17.649999999999999" customHeight="1" x14ac:dyDescent="0.3">
      <c r="A42" s="129" t="s">
        <v>36</v>
      </c>
      <c r="B42" s="124">
        <v>0</v>
      </c>
      <c r="C42" s="124"/>
      <c r="D42" s="130"/>
      <c r="E42" s="124">
        <v>0</v>
      </c>
      <c r="F42" s="124"/>
      <c r="G42" s="124"/>
      <c r="H42" s="130"/>
      <c r="I42" s="124">
        <f t="shared" si="0"/>
        <v>0</v>
      </c>
      <c r="J42" s="124">
        <f t="shared" ref="J42:J56" si="2">C42+G42</f>
        <v>0</v>
      </c>
      <c r="K42" s="130"/>
      <c r="L42" s="124">
        <v>849</v>
      </c>
      <c r="M42" s="124"/>
      <c r="N42" s="124">
        <v>3487</v>
      </c>
      <c r="O42" s="124"/>
      <c r="P42" s="124"/>
      <c r="Q42" s="124">
        <v>0</v>
      </c>
      <c r="R42" s="124"/>
      <c r="S42" s="124">
        <v>385</v>
      </c>
      <c r="T42" s="125"/>
      <c r="U42" s="124">
        <v>25</v>
      </c>
      <c r="V42" s="124"/>
      <c r="W42" s="14"/>
      <c r="X42" s="8"/>
      <c r="Y42" s="8"/>
      <c r="Z42" s="8"/>
      <c r="AA42" s="14"/>
      <c r="AM42" s="14"/>
      <c r="AN42" s="14"/>
      <c r="AO42" s="8" t="e">
        <f>ROUND(#REF!*[2]Manual_Input!O$22,6)</f>
        <v>#REF!</v>
      </c>
      <c r="AP42" s="14"/>
      <c r="AQ42" s="8"/>
      <c r="AR42" s="14"/>
      <c r="AS42" s="8" t="e">
        <f>ROUND(#REF!*[2]Manual_Input!$O$22,6)</f>
        <v>#REF!</v>
      </c>
      <c r="AT42" s="8"/>
      <c r="AU42" s="8"/>
      <c r="AV42" s="14"/>
    </row>
    <row r="43" spans="1:233" ht="17.649999999999999" customHeight="1" x14ac:dyDescent="0.3">
      <c r="A43" s="129" t="s">
        <v>37</v>
      </c>
      <c r="B43" s="124">
        <v>120</v>
      </c>
      <c r="C43" s="124"/>
      <c r="D43" s="130"/>
      <c r="E43" s="124">
        <v>108</v>
      </c>
      <c r="F43" s="124"/>
      <c r="G43" s="124"/>
      <c r="H43" s="130"/>
      <c r="I43" s="124">
        <f t="shared" si="0"/>
        <v>228</v>
      </c>
      <c r="J43" s="124">
        <v>0</v>
      </c>
      <c r="K43" s="130"/>
      <c r="L43" s="124">
        <v>847</v>
      </c>
      <c r="M43" s="124"/>
      <c r="N43" s="124">
        <v>4439</v>
      </c>
      <c r="O43" s="124"/>
      <c r="P43" s="124"/>
      <c r="Q43" s="124">
        <v>3</v>
      </c>
      <c r="R43" s="124"/>
      <c r="S43" s="124">
        <v>448</v>
      </c>
      <c r="T43" s="125"/>
      <c r="U43" s="124">
        <v>24</v>
      </c>
      <c r="V43" s="124"/>
      <c r="W43" s="14"/>
      <c r="X43" s="8"/>
      <c r="Y43" s="8"/>
      <c r="Z43" s="8"/>
      <c r="AA43" s="14"/>
      <c r="AM43" s="14"/>
      <c r="AN43" s="14"/>
      <c r="AO43" s="8" t="e">
        <f>ROUND(#REF!*[2]Manual_Input!O$22,6)</f>
        <v>#REF!</v>
      </c>
      <c r="AP43" s="14"/>
      <c r="AQ43" s="8"/>
      <c r="AR43" s="14"/>
      <c r="AS43" s="8" t="e">
        <f>ROUND(#REF!*[2]Manual_Input!$O$22,6)</f>
        <v>#REF!</v>
      </c>
      <c r="AT43" s="8"/>
      <c r="AU43" s="8"/>
      <c r="AV43" s="14"/>
    </row>
    <row r="44" spans="1:233" ht="17.649999999999999" customHeight="1" x14ac:dyDescent="0.3">
      <c r="A44" s="129" t="s">
        <v>38</v>
      </c>
      <c r="B44" s="124">
        <v>0</v>
      </c>
      <c r="C44" s="124"/>
      <c r="D44" s="130"/>
      <c r="E44" s="124">
        <v>0</v>
      </c>
      <c r="F44" s="124"/>
      <c r="G44" s="124"/>
      <c r="H44" s="130"/>
      <c r="I44" s="124">
        <f t="shared" si="0"/>
        <v>0</v>
      </c>
      <c r="J44" s="124">
        <f t="shared" ref="J44" si="3">C44+G44</f>
        <v>0</v>
      </c>
      <c r="K44" s="130"/>
      <c r="L44" s="124">
        <v>1203</v>
      </c>
      <c r="M44" s="124"/>
      <c r="N44" s="124">
        <v>15354</v>
      </c>
      <c r="O44" s="124"/>
      <c r="P44" s="124"/>
      <c r="Q44" s="124">
        <v>5</v>
      </c>
      <c r="R44" s="124"/>
      <c r="S44" s="124">
        <v>525</v>
      </c>
      <c r="T44" s="125"/>
      <c r="U44" s="124">
        <v>25</v>
      </c>
      <c r="V44" s="124"/>
      <c r="W44" s="14"/>
      <c r="X44" s="8"/>
      <c r="Y44" s="8"/>
      <c r="Z44" s="8"/>
      <c r="AA44" s="14"/>
      <c r="AM44" s="14"/>
      <c r="AN44" s="14"/>
      <c r="AO44" s="8" t="e">
        <f>ROUND(#REF!*[2]Manual_Input!O$22,6)</f>
        <v>#REF!</v>
      </c>
      <c r="AP44" s="14"/>
      <c r="AQ44" s="8"/>
      <c r="AR44" s="14"/>
      <c r="AS44" s="8" t="e">
        <f>ROUND(#REF!*[2]Manual_Input!$O$22,6)</f>
        <v>#REF!</v>
      </c>
      <c r="AT44" s="8"/>
      <c r="AU44" s="8"/>
      <c r="AV44" s="14"/>
    </row>
    <row r="45" spans="1:233" ht="17.649999999999999" customHeight="1" x14ac:dyDescent="0.3">
      <c r="A45" s="129" t="s">
        <v>39</v>
      </c>
      <c r="B45" s="124">
        <v>0</v>
      </c>
      <c r="C45" s="124"/>
      <c r="D45" s="130"/>
      <c r="E45" s="124">
        <v>0</v>
      </c>
      <c r="F45" s="124"/>
      <c r="G45" s="124"/>
      <c r="H45" s="130"/>
      <c r="I45" s="124">
        <f t="shared" si="0"/>
        <v>0</v>
      </c>
      <c r="J45" s="124">
        <f t="shared" si="2"/>
        <v>0</v>
      </c>
      <c r="K45" s="130"/>
      <c r="L45" s="124">
        <v>1318</v>
      </c>
      <c r="M45" s="124"/>
      <c r="N45" s="124">
        <v>10183</v>
      </c>
      <c r="O45" s="124"/>
      <c r="P45" s="124"/>
      <c r="Q45" s="124">
        <v>12</v>
      </c>
      <c r="R45" s="124"/>
      <c r="S45" s="124">
        <v>540</v>
      </c>
      <c r="T45" s="125"/>
      <c r="U45" s="124">
        <v>24</v>
      </c>
      <c r="V45" s="124"/>
      <c r="W45" s="14"/>
      <c r="X45" s="8"/>
      <c r="Y45" s="8"/>
      <c r="Z45" s="8"/>
      <c r="AA45" s="14"/>
      <c r="AM45" s="14"/>
      <c r="AN45" s="14"/>
      <c r="AO45" s="8" t="e">
        <f>ROUND(#REF!*[2]Manual_Input!O$22,6)</f>
        <v>#REF!</v>
      </c>
      <c r="AP45" s="14"/>
      <c r="AQ45" s="8"/>
      <c r="AR45" s="14"/>
      <c r="AS45" s="8" t="e">
        <f>ROUND(#REF!*[2]Manual_Input!$O$22,6)</f>
        <v>#REF!</v>
      </c>
      <c r="AT45" s="8"/>
      <c r="AU45" s="8"/>
      <c r="AV45" s="14"/>
    </row>
    <row r="46" spans="1:233" ht="17.649999999999999" customHeight="1" x14ac:dyDescent="0.3">
      <c r="A46" s="129" t="s">
        <v>40</v>
      </c>
      <c r="B46" s="124">
        <v>0</v>
      </c>
      <c r="C46" s="124"/>
      <c r="D46" s="130"/>
      <c r="E46" s="124">
        <v>0</v>
      </c>
      <c r="F46" s="124"/>
      <c r="G46" s="124"/>
      <c r="H46" s="130"/>
      <c r="I46" s="124">
        <f t="shared" si="0"/>
        <v>0</v>
      </c>
      <c r="J46" s="124">
        <f t="shared" si="2"/>
        <v>0</v>
      </c>
      <c r="K46" s="130"/>
      <c r="L46" s="124">
        <v>871</v>
      </c>
      <c r="M46" s="124"/>
      <c r="N46" s="124">
        <v>6584</v>
      </c>
      <c r="O46" s="124"/>
      <c r="P46" s="124"/>
      <c r="Q46" s="124">
        <v>1</v>
      </c>
      <c r="R46" s="124"/>
      <c r="S46" s="124">
        <v>285</v>
      </c>
      <c r="T46" s="125"/>
      <c r="U46" s="124">
        <v>22</v>
      </c>
      <c r="V46" s="124"/>
      <c r="W46" s="14"/>
      <c r="X46" s="8"/>
      <c r="Y46" s="8"/>
      <c r="Z46" s="8"/>
      <c r="AA46" s="14"/>
      <c r="AM46" s="14"/>
      <c r="AN46" s="14"/>
      <c r="AO46" s="8" t="e">
        <f>ROUND(#REF!*[2]Manual_Input!O$22,6)</f>
        <v>#REF!</v>
      </c>
      <c r="AP46" s="14"/>
      <c r="AQ46" s="8"/>
      <c r="AR46" s="14"/>
      <c r="AS46" s="8" t="e">
        <f>ROUND(#REF!*[2]Manual_Input!$O$22,6)</f>
        <v>#REF!</v>
      </c>
      <c r="AT46" s="8"/>
      <c r="AU46" s="8"/>
      <c r="AV46" s="14"/>
    </row>
    <row r="47" spans="1:233" ht="17.649999999999999" customHeight="1" x14ac:dyDescent="0.3">
      <c r="A47" s="129" t="s">
        <v>41</v>
      </c>
      <c r="B47" s="124">
        <f>[2]ActualDeliveries!F36</f>
        <v>0</v>
      </c>
      <c r="C47" s="124"/>
      <c r="D47" s="130"/>
      <c r="E47" s="124">
        <f>[2]ActualDeliveries!F37</f>
        <v>0</v>
      </c>
      <c r="F47" s="124"/>
      <c r="G47" s="124"/>
      <c r="H47" s="130"/>
      <c r="I47" s="124">
        <f t="shared" si="0"/>
        <v>0</v>
      </c>
      <c r="J47" s="124">
        <f t="shared" si="2"/>
        <v>0</v>
      </c>
      <c r="K47" s="130"/>
      <c r="L47" s="124">
        <f>[2]ActualDeliveries!F$42</f>
        <v>317</v>
      </c>
      <c r="M47" s="124"/>
      <c r="N47" s="124">
        <f>[2]ActualDeliveries!F$43</f>
        <v>3205</v>
      </c>
      <c r="O47" s="124"/>
      <c r="P47" s="124"/>
      <c r="Q47" s="124">
        <f>[2]ActualDeliveries!F$44</f>
        <v>0</v>
      </c>
      <c r="R47" s="124"/>
      <c r="S47" s="124">
        <f>[2]ActualDeliveries!F$45</f>
        <v>294</v>
      </c>
      <c r="T47" s="125"/>
      <c r="U47" s="124">
        <f>[2]ActualDeliveries!F$46</f>
        <v>24</v>
      </c>
      <c r="V47" s="124"/>
      <c r="W47" s="14"/>
      <c r="X47" s="8"/>
      <c r="Y47" s="8"/>
      <c r="Z47" s="8"/>
      <c r="AA47" s="14"/>
      <c r="AM47" s="14"/>
      <c r="AN47" s="14"/>
      <c r="AO47" s="8" t="e">
        <f>ROUND(#REF!*[2]Manual_Input!O$22,6)</f>
        <v>#REF!</v>
      </c>
      <c r="AP47" s="14"/>
      <c r="AQ47" s="8"/>
      <c r="AR47" s="14"/>
      <c r="AS47" s="8" t="e">
        <f>ROUND(#REF!*[2]Manual_Input!$O$22,6)</f>
        <v>#REF!</v>
      </c>
      <c r="AT47" s="8"/>
      <c r="AU47" s="8"/>
      <c r="AV47" s="14"/>
    </row>
    <row r="48" spans="1:233" ht="17.649999999999999" customHeight="1" x14ac:dyDescent="0.3">
      <c r="A48" s="129" t="s">
        <v>42</v>
      </c>
      <c r="B48" s="124">
        <v>0</v>
      </c>
      <c r="C48" s="124"/>
      <c r="D48" s="130"/>
      <c r="E48" s="124">
        <v>0</v>
      </c>
      <c r="F48" s="124"/>
      <c r="G48" s="124"/>
      <c r="H48" s="130"/>
      <c r="I48" s="124">
        <f t="shared" si="0"/>
        <v>0</v>
      </c>
      <c r="J48" s="124">
        <f t="shared" si="2"/>
        <v>0</v>
      </c>
      <c r="K48" s="130"/>
      <c r="L48" s="124">
        <f t="shared" ref="L48:L56" si="4">+L$58</f>
        <v>884.28571428571433</v>
      </c>
      <c r="M48" s="124"/>
      <c r="N48" s="124">
        <f t="shared" ref="N48:N56" si="5">+N$58</f>
        <v>6594.5714285714284</v>
      </c>
      <c r="O48" s="124"/>
      <c r="P48" s="124"/>
      <c r="Q48" s="124">
        <f t="shared" ref="Q48:Q56" si="6">+Q$58</f>
        <v>3</v>
      </c>
      <c r="R48" s="124"/>
      <c r="S48" s="124">
        <f t="shared" ref="S48:S56" si="7">+S$58</f>
        <v>367.14285714285717</v>
      </c>
      <c r="T48" s="125"/>
      <c r="U48" s="124">
        <f t="shared" ref="U48:U56" si="8">+U$58</f>
        <v>23.428571428571427</v>
      </c>
      <c r="V48" s="124"/>
      <c r="W48" s="14"/>
      <c r="X48" s="8"/>
      <c r="Y48" s="8"/>
      <c r="Z48" s="8"/>
      <c r="AA48" s="14"/>
      <c r="AM48" s="14"/>
      <c r="AN48" s="14"/>
      <c r="AO48" s="8" t="e">
        <f>ROUND(#REF!*[2]Manual_Input!O$22,6)</f>
        <v>#REF!</v>
      </c>
      <c r="AP48" s="14"/>
      <c r="AQ48" s="8"/>
      <c r="AR48" s="14"/>
      <c r="AS48" s="8" t="e">
        <f>ROUND(#REF!*[2]Manual_Input!$O$22,6)</f>
        <v>#REF!</v>
      </c>
      <c r="AT48" s="8"/>
      <c r="AU48" s="8"/>
      <c r="AV48" s="14"/>
    </row>
    <row r="49" spans="1:240" ht="17.649999999999999" customHeight="1" x14ac:dyDescent="0.3">
      <c r="A49" s="129" t="s">
        <v>43</v>
      </c>
      <c r="B49" s="124">
        <v>0</v>
      </c>
      <c r="C49" s="124">
        <f>ROUND(B49*[2]Manual_Input!K55,6)</f>
        <v>0</v>
      </c>
      <c r="D49" s="130"/>
      <c r="E49" s="124">
        <v>0</v>
      </c>
      <c r="F49" s="124"/>
      <c r="G49" s="124">
        <f>ROUND(E49*[2]Manual_Input!K55,6)</f>
        <v>0</v>
      </c>
      <c r="H49" s="130"/>
      <c r="I49" s="124">
        <f t="shared" si="0"/>
        <v>0</v>
      </c>
      <c r="J49" s="124">
        <f t="shared" si="2"/>
        <v>0</v>
      </c>
      <c r="K49" s="130"/>
      <c r="L49" s="124">
        <f t="shared" si="4"/>
        <v>884.28571428571433</v>
      </c>
      <c r="M49" s="124">
        <f>ROUND(L49*[2]Manual_Input!K55,6)</f>
        <v>863.76726099999996</v>
      </c>
      <c r="N49" s="124">
        <f t="shared" si="5"/>
        <v>6594.5714285714284</v>
      </c>
      <c r="O49" s="124"/>
      <c r="P49" s="124">
        <f>ROUND(N49*[2]Manual_Input!K55,6)</f>
        <v>6441.5548179999996</v>
      </c>
      <c r="Q49" s="124">
        <f t="shared" si="6"/>
        <v>3</v>
      </c>
      <c r="R49" s="124">
        <f>ROUND(Q49*[2]Manual_Input!K55,6)</f>
        <v>2.9303900000000001</v>
      </c>
      <c r="S49" s="124">
        <f t="shared" si="7"/>
        <v>367.14285714285717</v>
      </c>
      <c r="T49" s="125">
        <f>ROUND(S49*[2]Manual_Input!K55,6)</f>
        <v>358.62388700000002</v>
      </c>
      <c r="U49" s="124">
        <f t="shared" si="8"/>
        <v>23.428571428571427</v>
      </c>
      <c r="V49" s="124">
        <f>ROUND(U49*[2]Manual_Input!K55,6)</f>
        <v>22.884948000000001</v>
      </c>
      <c r="W49" s="14"/>
      <c r="X49" s="8"/>
      <c r="Y49" s="8"/>
      <c r="Z49" s="8"/>
      <c r="AA49" s="14"/>
      <c r="AM49" s="14"/>
      <c r="AN49" s="14"/>
      <c r="AO49" s="8" t="e">
        <f>ROUND(#REF!*[2]Manual_Input!O$22,6)</f>
        <v>#REF!</v>
      </c>
      <c r="AP49" s="14"/>
      <c r="AQ49" s="8"/>
      <c r="AR49" s="14"/>
      <c r="AS49" s="8" t="e">
        <f>ROUND(#REF!*[2]Manual_Input!$O$22,6)</f>
        <v>#REF!</v>
      </c>
      <c r="AT49" s="8"/>
      <c r="AU49" s="8"/>
      <c r="AV49" s="14"/>
    </row>
    <row r="50" spans="1:240" ht="17.649999999999999" customHeight="1" x14ac:dyDescent="0.3">
      <c r="A50" s="129" t="s">
        <v>44</v>
      </c>
      <c r="B50" s="124">
        <v>0</v>
      </c>
      <c r="C50" s="124">
        <f>ROUND(B50*[2]Manual_Input!K56,6)</f>
        <v>0</v>
      </c>
      <c r="D50" s="130"/>
      <c r="E50" s="124">
        <v>0</v>
      </c>
      <c r="F50" s="124"/>
      <c r="G50" s="124">
        <f>ROUND(E50*[2]Manual_Input!K56,6)</f>
        <v>0</v>
      </c>
      <c r="H50" s="130"/>
      <c r="I50" s="124">
        <f t="shared" si="0"/>
        <v>0</v>
      </c>
      <c r="J50" s="124">
        <f t="shared" si="2"/>
        <v>0</v>
      </c>
      <c r="K50" s="130"/>
      <c r="L50" s="124">
        <f t="shared" si="4"/>
        <v>884.28571428571433</v>
      </c>
      <c r="M50" s="124">
        <f>ROUND(L50*[2]Manual_Input!K56,6)</f>
        <v>843.72490700000003</v>
      </c>
      <c r="N50" s="124">
        <f t="shared" si="5"/>
        <v>6594.5714285714284</v>
      </c>
      <c r="O50" s="124"/>
      <c r="P50" s="124">
        <f>ROUND(N50*[2]Manual_Input!K56,6)</f>
        <v>6292.0887169999996</v>
      </c>
      <c r="Q50" s="124">
        <f t="shared" si="6"/>
        <v>3</v>
      </c>
      <c r="R50" s="124">
        <f>ROUND(Q50*[2]Manual_Input!K56,6)</f>
        <v>2.8623949999999998</v>
      </c>
      <c r="S50" s="124">
        <f t="shared" si="7"/>
        <v>367.14285714285717</v>
      </c>
      <c r="T50" s="125">
        <f>ROUND(S50*[2]Manual_Input!K56,6)</f>
        <v>350.30258700000002</v>
      </c>
      <c r="U50" s="124">
        <f t="shared" si="8"/>
        <v>23.428571428571427</v>
      </c>
      <c r="V50" s="124">
        <f>ROUND(U50*[2]Manual_Input!K56,6)</f>
        <v>22.353939</v>
      </c>
      <c r="W50" s="14"/>
      <c r="X50" s="8"/>
      <c r="Y50" s="8"/>
      <c r="Z50" s="8"/>
      <c r="AA50" s="14"/>
      <c r="AM50" s="14"/>
      <c r="AN50" s="14"/>
      <c r="AO50" s="8" t="e">
        <f>ROUND(#REF!*[2]Manual_Input!O$22,6)</f>
        <v>#REF!</v>
      </c>
      <c r="AP50" s="14"/>
      <c r="AQ50" s="8"/>
      <c r="AR50" s="14"/>
      <c r="AS50" s="8" t="e">
        <f>ROUND(#REF!*[2]Manual_Input!$O$22,6)</f>
        <v>#REF!</v>
      </c>
      <c r="AT50" s="8"/>
      <c r="AU50" s="8"/>
      <c r="AV50" s="14"/>
    </row>
    <row r="51" spans="1:240" ht="17.649999999999999" customHeight="1" x14ac:dyDescent="0.3">
      <c r="A51" s="129" t="s">
        <v>45</v>
      </c>
      <c r="B51" s="124">
        <f t="shared" ref="B51:B56" si="9">+B$58</f>
        <v>86</v>
      </c>
      <c r="C51" s="124">
        <f>ROUND(B51*[2]Manual_Input!K57,6)</f>
        <v>80.151349999999994</v>
      </c>
      <c r="D51" s="130"/>
      <c r="E51" s="124">
        <f t="shared" ref="E51:E56" si="10">+E$58</f>
        <v>192</v>
      </c>
      <c r="F51" s="124"/>
      <c r="G51" s="124">
        <f>ROUND(E51*[2]Manual_Input!K57,6)</f>
        <v>178.94254900000001</v>
      </c>
      <c r="H51" s="130"/>
      <c r="I51" s="124">
        <f t="shared" si="0"/>
        <v>278</v>
      </c>
      <c r="J51" s="124">
        <f t="shared" si="2"/>
        <v>259.09389900000002</v>
      </c>
      <c r="K51" s="130"/>
      <c r="L51" s="124">
        <f t="shared" si="4"/>
        <v>884.28571428571433</v>
      </c>
      <c r="M51" s="124">
        <f>ROUND(L51*[2]Manual_Input!K57,6)</f>
        <v>824.147604</v>
      </c>
      <c r="N51" s="124">
        <f t="shared" si="5"/>
        <v>6594.5714285714284</v>
      </c>
      <c r="O51" s="124"/>
      <c r="P51" s="124">
        <f>ROUND(N51*[2]Manual_Input!K57,6)</f>
        <v>6146.0907399999996</v>
      </c>
      <c r="Q51" s="124">
        <f t="shared" si="6"/>
        <v>3</v>
      </c>
      <c r="R51" s="124">
        <f>ROUND(Q51*[2]Manual_Input!K57,6)</f>
        <v>2.7959770000000002</v>
      </c>
      <c r="S51" s="124">
        <f t="shared" si="7"/>
        <v>367.14285714285717</v>
      </c>
      <c r="T51" s="125">
        <f>ROUND(S51*[2]Manual_Input!K57,6)</f>
        <v>342.17436900000001</v>
      </c>
      <c r="U51" s="124">
        <f t="shared" si="8"/>
        <v>23.428571428571427</v>
      </c>
      <c r="V51" s="124">
        <f>ROUND(U51*[2]Manual_Input!K57,6)</f>
        <v>21.835252000000001</v>
      </c>
      <c r="W51" s="14"/>
      <c r="X51" s="8"/>
      <c r="Y51" s="8"/>
      <c r="Z51" s="8"/>
      <c r="AA51" s="14"/>
      <c r="AM51" s="14"/>
      <c r="AN51" s="14"/>
      <c r="AO51" s="8" t="e">
        <f>ROUND(#REF!*[2]Manual_Input!O$22,6)</f>
        <v>#REF!</v>
      </c>
      <c r="AP51" s="14"/>
      <c r="AQ51" s="8"/>
      <c r="AR51" s="14"/>
      <c r="AS51" s="8" t="e">
        <f>ROUND(#REF!*[2]Manual_Input!$O$22,6)</f>
        <v>#REF!</v>
      </c>
      <c r="AT51" s="8"/>
      <c r="AU51" s="8"/>
      <c r="AV51" s="14"/>
    </row>
    <row r="52" spans="1:240" ht="17.649999999999999" customHeight="1" x14ac:dyDescent="0.3">
      <c r="A52" s="129" t="s">
        <v>46</v>
      </c>
      <c r="B52" s="124">
        <f t="shared" si="9"/>
        <v>86</v>
      </c>
      <c r="C52" s="124">
        <f>ROUND(B52*[2]Manual_Input!K58,6)</f>
        <v>78.291565000000006</v>
      </c>
      <c r="D52" s="130"/>
      <c r="E52" s="124">
        <f t="shared" si="10"/>
        <v>192</v>
      </c>
      <c r="F52" s="124"/>
      <c r="G52" s="124">
        <f>ROUND(E52*[2]Manual_Input!K58,6)</f>
        <v>174.79047</v>
      </c>
      <c r="H52" s="130"/>
      <c r="I52" s="124">
        <f t="shared" si="0"/>
        <v>278</v>
      </c>
      <c r="J52" s="124">
        <f t="shared" si="2"/>
        <v>253.08203500000002</v>
      </c>
      <c r="K52" s="130"/>
      <c r="L52" s="124">
        <f t="shared" si="4"/>
        <v>884.28571428571433</v>
      </c>
      <c r="M52" s="124">
        <f>ROUND(L52*[2]Manual_Input!K58,6)</f>
        <v>805.02456099999995</v>
      </c>
      <c r="N52" s="124">
        <f t="shared" si="5"/>
        <v>6594.5714285714284</v>
      </c>
      <c r="O52" s="124"/>
      <c r="P52" s="124">
        <f>ROUND(N52*[2]Manual_Input!K58,6)</f>
        <v>6003.480415</v>
      </c>
      <c r="Q52" s="124">
        <f t="shared" si="6"/>
        <v>3</v>
      </c>
      <c r="R52" s="124">
        <f>ROUND(Q52*[2]Manual_Input!K58,6)</f>
        <v>2.7311009999999998</v>
      </c>
      <c r="S52" s="124">
        <f t="shared" si="7"/>
        <v>367.14285714285717</v>
      </c>
      <c r="T52" s="125">
        <f>ROUND(S52*[2]Manual_Input!K58,6)</f>
        <v>334.23475300000001</v>
      </c>
      <c r="U52" s="124">
        <f t="shared" si="8"/>
        <v>23.428571428571427</v>
      </c>
      <c r="V52" s="124">
        <f>ROUND(U52*[2]Manual_Input!K58,6)</f>
        <v>21.328599000000001</v>
      </c>
      <c r="W52" s="14"/>
      <c r="X52" s="8"/>
      <c r="Y52" s="8"/>
      <c r="Z52" s="8"/>
      <c r="AA52" s="14"/>
      <c r="AM52" s="14"/>
      <c r="AN52" s="14"/>
      <c r="AO52" s="8" t="e">
        <f>ROUND(#REF!*[2]Manual_Input!O$22,6)</f>
        <v>#REF!</v>
      </c>
      <c r="AP52" s="14"/>
      <c r="AQ52" s="8"/>
      <c r="AR52" s="14"/>
      <c r="AS52" s="8" t="e">
        <f>ROUND(#REF!*[2]Manual_Input!$O$22,6)</f>
        <v>#REF!</v>
      </c>
      <c r="AT52" s="8"/>
      <c r="AU52" s="8"/>
      <c r="AV52" s="14"/>
    </row>
    <row r="53" spans="1:240" ht="17.649999999999999" customHeight="1" x14ac:dyDescent="0.3">
      <c r="A53" s="129" t="s">
        <v>47</v>
      </c>
      <c r="B53" s="124">
        <f t="shared" si="9"/>
        <v>86</v>
      </c>
      <c r="C53" s="124">
        <f>ROUND(B53*[2]Manual_Input!K59,6)</f>
        <v>76.474932999999993</v>
      </c>
      <c r="D53" s="130"/>
      <c r="E53" s="124">
        <f t="shared" si="10"/>
        <v>192</v>
      </c>
      <c r="F53" s="124"/>
      <c r="G53" s="124">
        <f>ROUND(E53*[2]Manual_Input!K59,6)</f>
        <v>170.73473300000001</v>
      </c>
      <c r="H53" s="130"/>
      <c r="I53" s="124">
        <f t="shared" si="0"/>
        <v>278</v>
      </c>
      <c r="J53" s="124">
        <f t="shared" si="2"/>
        <v>247.209666</v>
      </c>
      <c r="K53" s="130"/>
      <c r="L53" s="124">
        <f t="shared" si="4"/>
        <v>884.28571428571433</v>
      </c>
      <c r="M53" s="124">
        <f>ROUND(L53*[2]Manual_Input!K59,6)</f>
        <v>786.34523799999999</v>
      </c>
      <c r="N53" s="124">
        <f t="shared" si="5"/>
        <v>6594.5714285714284</v>
      </c>
      <c r="O53" s="124"/>
      <c r="P53" s="124">
        <f>ROUND(N53*[2]Manual_Input!K59,6)</f>
        <v>5864.1791380000004</v>
      </c>
      <c r="Q53" s="124">
        <f t="shared" si="6"/>
        <v>3</v>
      </c>
      <c r="R53" s="124">
        <f>ROUND(Q53*[2]Manual_Input!K59,6)</f>
        <v>2.6677300000000002</v>
      </c>
      <c r="S53" s="124">
        <f t="shared" si="7"/>
        <v>367.14285714285717</v>
      </c>
      <c r="T53" s="125">
        <f>ROUND(S53*[2]Manual_Input!K59,6)</f>
        <v>326.47936399999998</v>
      </c>
      <c r="U53" s="124">
        <f t="shared" si="8"/>
        <v>23.428571428571427</v>
      </c>
      <c r="V53" s="124">
        <f>ROUND(U53*[2]Manual_Input!K59,6)</f>
        <v>20.833703</v>
      </c>
      <c r="W53" s="14"/>
      <c r="X53" s="8"/>
      <c r="Y53" s="8"/>
      <c r="Z53" s="8"/>
      <c r="AA53" s="14"/>
      <c r="AM53" s="14"/>
      <c r="AN53" s="14"/>
      <c r="AO53" s="8" t="e">
        <f>ROUND(#REF!*[2]Manual_Input!O$22,6)</f>
        <v>#REF!</v>
      </c>
      <c r="AP53" s="14"/>
      <c r="AQ53" s="8"/>
      <c r="AR53" s="14"/>
      <c r="AS53" s="8" t="e">
        <f>ROUND(#REF!*[2]Manual_Input!$O$22,6)</f>
        <v>#REF!</v>
      </c>
      <c r="AT53" s="8"/>
      <c r="AU53" s="8"/>
      <c r="AV53" s="14"/>
    </row>
    <row r="54" spans="1:240" ht="17.649999999999999" customHeight="1" x14ac:dyDescent="0.3">
      <c r="A54" s="129" t="s">
        <v>48</v>
      </c>
      <c r="B54" s="124">
        <f t="shared" si="9"/>
        <v>86</v>
      </c>
      <c r="C54" s="124">
        <f>ROUND(B54*[2]Manual_Input!K60,6)</f>
        <v>74.700452999999996</v>
      </c>
      <c r="D54" s="130"/>
      <c r="E54" s="124">
        <f t="shared" si="10"/>
        <v>192</v>
      </c>
      <c r="F54" s="124"/>
      <c r="G54" s="124">
        <f>ROUND(E54*[2]Manual_Input!K60,6)</f>
        <v>166.77310399999999</v>
      </c>
      <c r="H54" s="130"/>
      <c r="I54" s="124">
        <f t="shared" si="0"/>
        <v>278</v>
      </c>
      <c r="J54" s="124">
        <f t="shared" si="2"/>
        <v>241.47355699999997</v>
      </c>
      <c r="K54" s="130"/>
      <c r="L54" s="124">
        <f t="shared" si="4"/>
        <v>884.28571428571433</v>
      </c>
      <c r="M54" s="124">
        <f>ROUND(L54*[2]Manual_Input!K60,6)</f>
        <v>768.09933899999999</v>
      </c>
      <c r="N54" s="124">
        <f t="shared" si="5"/>
        <v>6594.5714285714284</v>
      </c>
      <c r="O54" s="124"/>
      <c r="P54" s="124">
        <f>ROUND(N54*[2]Manual_Input!K60,6)</f>
        <v>5728.1101269999999</v>
      </c>
      <c r="Q54" s="124">
        <f t="shared" si="6"/>
        <v>3</v>
      </c>
      <c r="R54" s="124">
        <f>ROUND(Q54*[2]Manual_Input!K60,6)</f>
        <v>2.6058300000000001</v>
      </c>
      <c r="S54" s="124">
        <f t="shared" si="7"/>
        <v>367.14285714285717</v>
      </c>
      <c r="T54" s="125">
        <f>ROUND(S54*[2]Manual_Input!K60,6)</f>
        <v>318.90392600000001</v>
      </c>
      <c r="U54" s="124">
        <f t="shared" si="8"/>
        <v>23.428571428571427</v>
      </c>
      <c r="V54" s="124">
        <f>ROUND(U54*[2]Manual_Input!K60,6)</f>
        <v>20.350289</v>
      </c>
      <c r="W54" s="14"/>
      <c r="X54" s="8"/>
      <c r="Y54" s="8"/>
      <c r="Z54" s="8"/>
      <c r="AA54" s="14"/>
      <c r="AM54" s="14"/>
      <c r="AN54" s="14"/>
      <c r="AO54" s="8" t="e">
        <f>ROUND(#REF!*[2]Manual_Input!O$22,6)</f>
        <v>#REF!</v>
      </c>
      <c r="AP54" s="14"/>
      <c r="AQ54" s="8"/>
      <c r="AR54" s="14"/>
      <c r="AS54" s="8" t="e">
        <f>ROUND(#REF!*[2]Manual_Input!$O$22,6)</f>
        <v>#REF!</v>
      </c>
      <c r="AT54" s="8"/>
      <c r="AU54" s="8"/>
      <c r="AV54" s="14"/>
    </row>
    <row r="55" spans="1:240" ht="17.649999999999999" customHeight="1" x14ac:dyDescent="0.3">
      <c r="A55" s="129" t="s">
        <v>49</v>
      </c>
      <c r="B55" s="124">
        <f t="shared" si="9"/>
        <v>86</v>
      </c>
      <c r="C55" s="124">
        <f>ROUND(B55*[2]Manual_Input!K61,6)</f>
        <v>72.967146999999997</v>
      </c>
      <c r="D55" s="130"/>
      <c r="E55" s="124">
        <f t="shared" si="10"/>
        <v>192</v>
      </c>
      <c r="F55" s="124"/>
      <c r="G55" s="124">
        <f>ROUND(E55*[2]Manual_Input!K61,6)</f>
        <v>162.90339700000001</v>
      </c>
      <c r="H55" s="130"/>
      <c r="I55" s="124">
        <f t="shared" si="0"/>
        <v>278</v>
      </c>
      <c r="J55" s="124">
        <f t="shared" si="2"/>
        <v>235.870544</v>
      </c>
      <c r="K55" s="130"/>
      <c r="L55" s="124">
        <f t="shared" si="4"/>
        <v>884.28571428571433</v>
      </c>
      <c r="M55" s="124">
        <f>ROUND(L55*[2]Manual_Input!K61,6)</f>
        <v>750.27680699999996</v>
      </c>
      <c r="N55" s="124">
        <f t="shared" si="5"/>
        <v>6594.5714285714284</v>
      </c>
      <c r="O55" s="124"/>
      <c r="P55" s="124">
        <f>ROUND(N55*[2]Manual_Input!K61,6)</f>
        <v>5595.1983819999996</v>
      </c>
      <c r="Q55" s="124">
        <f t="shared" si="6"/>
        <v>3</v>
      </c>
      <c r="R55" s="124">
        <f>ROUND(Q55*[2]Manual_Input!K61,6)</f>
        <v>2.545366</v>
      </c>
      <c r="S55" s="124">
        <f t="shared" si="7"/>
        <v>367.14285714285717</v>
      </c>
      <c r="T55" s="125">
        <f>ROUND(S55*[2]Manual_Input!K61,6)</f>
        <v>311.50426399999998</v>
      </c>
      <c r="U55" s="124">
        <f t="shared" si="8"/>
        <v>23.428571428571427</v>
      </c>
      <c r="V55" s="124">
        <f>ROUND(U55*[2]Manual_Input!K61,6)</f>
        <v>19.878093</v>
      </c>
      <c r="W55" s="14"/>
      <c r="X55" s="8"/>
      <c r="Y55" s="8"/>
      <c r="Z55" s="8"/>
      <c r="AA55" s="14"/>
      <c r="AM55" s="14"/>
      <c r="AN55" s="14"/>
      <c r="AO55" s="8" t="e">
        <f>ROUND(#REF!*[2]Manual_Input!O$22,6)</f>
        <v>#REF!</v>
      </c>
      <c r="AP55" s="14"/>
      <c r="AQ55" s="8"/>
      <c r="AR55" s="14"/>
      <c r="AS55" s="8" t="e">
        <f>ROUND(#REF!*[2]Manual_Input!$O$22,6)</f>
        <v>#REF!</v>
      </c>
      <c r="AT55" s="8"/>
      <c r="AU55" s="8"/>
      <c r="AV55" s="14"/>
    </row>
    <row r="56" spans="1:240" ht="17.649999999999999" customHeight="1" thickBot="1" x14ac:dyDescent="0.35">
      <c r="A56" s="129" t="s">
        <v>50</v>
      </c>
      <c r="B56" s="124">
        <f t="shared" si="9"/>
        <v>86</v>
      </c>
      <c r="C56" s="124">
        <f>ROUND(B56*[2]Manual_Input!K62,6)</f>
        <v>71.274058999999994</v>
      </c>
      <c r="D56" s="130"/>
      <c r="E56" s="124">
        <f t="shared" si="10"/>
        <v>192</v>
      </c>
      <c r="F56" s="124"/>
      <c r="G56" s="124">
        <f>ROUND(E56*[2]Manual_Input!K62,6)</f>
        <v>159.123481</v>
      </c>
      <c r="H56" s="130"/>
      <c r="I56" s="124">
        <f t="shared" si="0"/>
        <v>278</v>
      </c>
      <c r="J56" s="124">
        <f t="shared" si="2"/>
        <v>230.39753999999999</v>
      </c>
      <c r="K56" s="130"/>
      <c r="L56" s="124">
        <f t="shared" si="4"/>
        <v>884.28571428571433</v>
      </c>
      <c r="M56" s="124">
        <f>ROUND(L56*[2]Manual_Input!K62,6)</f>
        <v>732.86782000000005</v>
      </c>
      <c r="N56" s="124">
        <f t="shared" si="5"/>
        <v>6594.5714285714284</v>
      </c>
      <c r="O56" s="124"/>
      <c r="P56" s="124">
        <f>ROUND(N56*[2]Manual_Input!K62,6)</f>
        <v>5465.3706439999996</v>
      </c>
      <c r="Q56" s="124">
        <f t="shared" si="6"/>
        <v>3</v>
      </c>
      <c r="R56" s="124">
        <f>ROUND(Q56*[2]Manual_Input!K62,6)</f>
        <v>2.4863040000000001</v>
      </c>
      <c r="S56" s="124">
        <f t="shared" si="7"/>
        <v>367.14285714285717</v>
      </c>
      <c r="T56" s="125">
        <f>ROUND(S56*[2]Manual_Input!K62,6)</f>
        <v>304.27629999999999</v>
      </c>
      <c r="U56" s="124">
        <f t="shared" si="8"/>
        <v>23.428571428571427</v>
      </c>
      <c r="V56" s="124">
        <f>ROUND(U56*[2]Manual_Input!K62,6)</f>
        <v>19.416853</v>
      </c>
      <c r="W56" s="14"/>
      <c r="X56" s="8"/>
      <c r="Y56" s="8"/>
      <c r="Z56" s="8"/>
      <c r="AA56" s="14"/>
      <c r="AM56" s="14"/>
      <c r="AN56" s="14"/>
      <c r="AO56" s="8" t="e">
        <f>ROUND(#REF!*[2]Manual_Input!O$22,6)</f>
        <v>#REF!</v>
      </c>
      <c r="AP56" s="14"/>
      <c r="AQ56" s="8"/>
      <c r="AR56" s="14"/>
      <c r="AS56" s="8" t="e">
        <f>ROUND(#REF!*[2]Manual_Input!$O$22,6)</f>
        <v>#REF!</v>
      </c>
      <c r="AT56" s="8"/>
      <c r="AU56" s="8"/>
      <c r="AV56" s="14"/>
    </row>
    <row r="57" spans="1:240" ht="17.649999999999999" customHeight="1" x14ac:dyDescent="0.3">
      <c r="A57" s="129" t="s">
        <v>51</v>
      </c>
      <c r="B57" s="132">
        <f>SUM(B7:B56)</f>
        <v>1782</v>
      </c>
      <c r="C57" s="132">
        <f>SUM(C44:C56)</f>
        <v>453.85950700000001</v>
      </c>
      <c r="D57" s="132">
        <f t="shared" ref="D57:I57" si="11">SUM(D7:D56)</f>
        <v>0</v>
      </c>
      <c r="E57" s="132">
        <f t="shared" si="11"/>
        <v>6599</v>
      </c>
      <c r="F57" s="132">
        <f t="shared" si="11"/>
        <v>0</v>
      </c>
      <c r="G57" s="132">
        <f>SUM(G44:G56)</f>
        <v>1013.267734</v>
      </c>
      <c r="H57" s="132">
        <f t="shared" si="11"/>
        <v>0</v>
      </c>
      <c r="I57" s="132">
        <f t="shared" si="11"/>
        <v>8381</v>
      </c>
      <c r="J57" s="132">
        <f>SUM(J44:J56)</f>
        <v>1467.1272410000001</v>
      </c>
      <c r="K57" s="133"/>
      <c r="L57" s="132">
        <f>SUM(L7:L56)</f>
        <v>31453.571428571424</v>
      </c>
      <c r="M57" s="133">
        <f>SUM(M44:M56)</f>
        <v>6374.2535370000005</v>
      </c>
      <c r="N57" s="133">
        <f>SUM(N7:N56)</f>
        <v>359752.14285714278</v>
      </c>
      <c r="O57" s="133"/>
      <c r="P57" s="133">
        <f>SUM(P44:P56)</f>
        <v>47536.072981000005</v>
      </c>
      <c r="Q57" s="133">
        <f>SUM(Q7:Q56)</f>
        <v>526</v>
      </c>
      <c r="R57" s="133">
        <f>SUM(R44:R56)</f>
        <v>21.625093000000003</v>
      </c>
      <c r="S57" s="133">
        <f>SUM(S7:S56)</f>
        <v>8089.2857142857119</v>
      </c>
      <c r="T57" s="133">
        <f>SUM(T44:T56)</f>
        <v>2646.4994500000003</v>
      </c>
      <c r="U57" s="133">
        <f>SUM(U7:U56)</f>
        <v>1171.8571428571422</v>
      </c>
      <c r="V57" s="133">
        <f>SUM(V44:V56)</f>
        <v>168.881676</v>
      </c>
      <c r="W57" s="14"/>
      <c r="X57" s="8"/>
      <c r="Y57" s="8"/>
      <c r="Z57" s="8"/>
      <c r="AA57" s="14"/>
      <c r="AM57" s="14"/>
      <c r="AN57" s="14"/>
      <c r="AO57" s="16" t="e">
        <f>SUM(AO7:AO56)</f>
        <v>#REF!</v>
      </c>
      <c r="AP57" s="8"/>
      <c r="AQ57" s="16">
        <f>SUM(AQ7:AQ56)</f>
        <v>0</v>
      </c>
      <c r="AR57" s="14"/>
      <c r="AS57" s="16" t="e">
        <f>SUM(AS7:AS56)</f>
        <v>#REF!</v>
      </c>
      <c r="AT57" s="8"/>
      <c r="AU57" s="16">
        <f>SUM(AU7:AU56)</f>
        <v>0</v>
      </c>
      <c r="AV57" s="14"/>
    </row>
    <row r="58" spans="1:240" ht="17.649999999999999" customHeight="1" x14ac:dyDescent="0.3">
      <c r="A58" s="149" t="s">
        <v>72</v>
      </c>
      <c r="B58" s="124">
        <f>ROUND(600/7,0)</f>
        <v>86</v>
      </c>
      <c r="C58" s="124"/>
      <c r="D58" s="124"/>
      <c r="E58" s="124">
        <f>ROUND(1345/7,0)</f>
        <v>192</v>
      </c>
      <c r="F58" s="124"/>
      <c r="G58" s="124"/>
      <c r="H58" s="124"/>
      <c r="I58" s="124">
        <f>B58+E58</f>
        <v>278</v>
      </c>
      <c r="J58" s="124"/>
      <c r="K58" s="124"/>
      <c r="L58" s="124">
        <f>AVERAGE(L41:L47)</f>
        <v>884.28571428571433</v>
      </c>
      <c r="M58" s="124"/>
      <c r="N58" s="124">
        <f>AVERAGE(N41:N47)</f>
        <v>6594.5714285714284</v>
      </c>
      <c r="O58" s="124"/>
      <c r="P58" s="124"/>
      <c r="Q58" s="124">
        <f>AVERAGE(Q41:Q47)</f>
        <v>3</v>
      </c>
      <c r="R58" s="124"/>
      <c r="S58" s="124">
        <f>AVERAGE(S41:S47)</f>
        <v>367.14285714285717</v>
      </c>
      <c r="T58" s="124"/>
      <c r="U58" s="124">
        <f>AVERAGE(U41:U47)</f>
        <v>23.428571428571427</v>
      </c>
      <c r="V58" s="124"/>
      <c r="W58" s="14"/>
      <c r="X58" s="8"/>
      <c r="Y58" s="8"/>
      <c r="Z58" s="8"/>
      <c r="AA58" s="14"/>
      <c r="AM58" s="14"/>
      <c r="AN58" s="14"/>
      <c r="AO58" s="8"/>
      <c r="AP58" s="8"/>
      <c r="AQ58" s="8"/>
      <c r="AR58" s="14"/>
      <c r="AS58" s="8"/>
      <c r="AT58" s="8"/>
      <c r="AU58" s="8"/>
      <c r="AV58" s="14"/>
    </row>
    <row r="59" spans="1:240" ht="17.649999999999999" customHeight="1" x14ac:dyDescent="0.3">
      <c r="A59" s="143" t="s">
        <v>53</v>
      </c>
      <c r="B59" s="125">
        <f>+SUM(B49:B56)</f>
        <v>516</v>
      </c>
      <c r="C59" s="125">
        <f t="shared" ref="C59:V59" si="12">+SUM(C49:C56)</f>
        <v>453.85950700000001</v>
      </c>
      <c r="D59" s="125">
        <f t="shared" si="12"/>
        <v>0</v>
      </c>
      <c r="E59" s="125">
        <f t="shared" si="12"/>
        <v>1152</v>
      </c>
      <c r="F59" s="125">
        <f t="shared" si="12"/>
        <v>0</v>
      </c>
      <c r="G59" s="125">
        <f t="shared" si="12"/>
        <v>1013.267734</v>
      </c>
      <c r="H59" s="125">
        <f t="shared" si="12"/>
        <v>0</v>
      </c>
      <c r="I59" s="125">
        <f t="shared" si="12"/>
        <v>1668</v>
      </c>
      <c r="J59" s="125">
        <f t="shared" si="12"/>
        <v>1467.1272410000001</v>
      </c>
      <c r="K59" s="125">
        <f t="shared" si="12"/>
        <v>0</v>
      </c>
      <c r="L59" s="125">
        <f t="shared" si="12"/>
        <v>7074.2857142857156</v>
      </c>
      <c r="M59" s="125">
        <f t="shared" si="12"/>
        <v>6374.2535370000005</v>
      </c>
      <c r="N59" s="125">
        <f t="shared" si="12"/>
        <v>52756.571428571428</v>
      </c>
      <c r="O59" s="125">
        <f t="shared" si="12"/>
        <v>0</v>
      </c>
      <c r="P59" s="125">
        <f t="shared" si="12"/>
        <v>47536.072981000005</v>
      </c>
      <c r="Q59" s="125">
        <f t="shared" si="12"/>
        <v>24</v>
      </c>
      <c r="R59" s="125">
        <f t="shared" si="12"/>
        <v>21.625093000000003</v>
      </c>
      <c r="S59" s="125">
        <f t="shared" si="12"/>
        <v>2937.1428571428578</v>
      </c>
      <c r="T59" s="125">
        <f t="shared" si="12"/>
        <v>2646.4994500000003</v>
      </c>
      <c r="U59" s="125">
        <f t="shared" si="12"/>
        <v>187.42857142857139</v>
      </c>
      <c r="V59" s="125">
        <f t="shared" si="12"/>
        <v>168.881676</v>
      </c>
      <c r="W59" s="14"/>
      <c r="X59" s="8"/>
      <c r="Y59" s="8"/>
      <c r="Z59" s="8"/>
      <c r="AA59" s="14"/>
      <c r="AM59" s="14"/>
      <c r="AN59" s="14"/>
      <c r="AO59" s="8"/>
      <c r="AP59" s="8"/>
      <c r="AQ59" s="8"/>
      <c r="AR59" s="14"/>
      <c r="AS59" s="8"/>
      <c r="AT59" s="8"/>
      <c r="AU59" s="8"/>
      <c r="AV59" s="14"/>
    </row>
    <row r="60" spans="1:240" ht="54.6" customHeight="1" x14ac:dyDescent="0.25">
      <c r="A60" s="1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>
        <f>AG57/17</f>
        <v>0</v>
      </c>
      <c r="AH60" s="21"/>
      <c r="AI60" s="21"/>
      <c r="AJ60" s="33"/>
      <c r="AK60" s="21">
        <f>AK57/17</f>
        <v>0</v>
      </c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</row>
    <row r="61" spans="1:240" ht="1.1499999999999999" customHeight="1" x14ac:dyDescent="0.25">
      <c r="A61" s="34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</row>
    <row r="62" spans="1:240" ht="1.1499999999999999" customHeight="1" x14ac:dyDescent="0.2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</row>
    <row r="63" spans="1:240" ht="1.1499999999999999" customHeight="1" x14ac:dyDescent="0.2">
      <c r="A63" s="3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1:240" ht="1.1499999999999999" customHeight="1" x14ac:dyDescent="0.2">
      <c r="A64" s="32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</row>
    <row r="65" spans="1:48" ht="18" customHeight="1" x14ac:dyDescent="0.25">
      <c r="A65" s="32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21"/>
      <c r="V65" s="14"/>
      <c r="W65" s="14"/>
      <c r="AA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</row>
    <row r="66" spans="1:48" ht="18" customHeight="1" x14ac:dyDescent="0.25">
      <c r="A66" s="32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21"/>
      <c r="V66" s="14"/>
      <c r="W66" s="14"/>
      <c r="AA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</row>
    <row r="67" spans="1:48" x14ac:dyDescent="0.2">
      <c r="A67" s="3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</row>
    <row r="68" spans="1:48" x14ac:dyDescent="0.2">
      <c r="A68" s="32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</row>
    <row r="69" spans="1:48" x14ac:dyDescent="0.2">
      <c r="A69" s="32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</row>
    <row r="70" spans="1:48" x14ac:dyDescent="0.2">
      <c r="AN70" s="14"/>
      <c r="AO70" s="14"/>
      <c r="AP70" s="14"/>
      <c r="AQ70" s="14"/>
      <c r="AR70" s="14"/>
      <c r="AS70" s="14"/>
      <c r="AT70" s="14"/>
      <c r="AU70" s="14"/>
      <c r="AV70" s="14"/>
    </row>
    <row r="71" spans="1:48" x14ac:dyDescent="0.2">
      <c r="AN71" s="14"/>
      <c r="AO71" s="14"/>
      <c r="AP71" s="14"/>
      <c r="AQ71" s="14"/>
      <c r="AR71" s="14"/>
      <c r="AS71" s="14"/>
      <c r="AT71" s="14"/>
      <c r="AU71" s="14"/>
      <c r="AV71" s="14"/>
    </row>
    <row r="72" spans="1:48" x14ac:dyDescent="0.2">
      <c r="AN72" s="14"/>
      <c r="AO72" s="14"/>
      <c r="AP72" s="14"/>
      <c r="AQ72" s="14"/>
      <c r="AR72" s="14"/>
      <c r="AS72" s="14"/>
      <c r="AT72" s="14"/>
      <c r="AU72" s="14"/>
      <c r="AV72" s="14"/>
    </row>
    <row r="73" spans="1:48" x14ac:dyDescent="0.2">
      <c r="AN73" s="14"/>
      <c r="AO73" s="14"/>
      <c r="AP73" s="14"/>
      <c r="AQ73" s="14"/>
      <c r="AR73" s="14"/>
      <c r="AS73" s="14"/>
      <c r="AT73" s="14"/>
      <c r="AU73" s="14"/>
      <c r="AV73" s="14"/>
    </row>
    <row r="74" spans="1:48" x14ac:dyDescent="0.2">
      <c r="AN74" s="14"/>
      <c r="AO74" s="14"/>
      <c r="AP74" s="14"/>
      <c r="AQ74" s="14"/>
      <c r="AR74" s="14"/>
      <c r="AS74" s="14"/>
      <c r="AT74" s="14"/>
      <c r="AU74" s="14"/>
      <c r="AV74" s="14"/>
    </row>
    <row r="75" spans="1:48" x14ac:dyDescent="0.2">
      <c r="AN75" s="14"/>
      <c r="AO75" s="14"/>
      <c r="AP75" s="14"/>
      <c r="AQ75" s="14"/>
      <c r="AR75" s="14"/>
      <c r="AS75" s="14"/>
      <c r="AT75" s="14"/>
      <c r="AU75" s="14"/>
      <c r="AV75" s="14"/>
    </row>
    <row r="76" spans="1:48" x14ac:dyDescent="0.2">
      <c r="AN76" s="14"/>
      <c r="AO76" s="14"/>
      <c r="AP76" s="14"/>
      <c r="AQ76" s="14"/>
      <c r="AR76" s="14"/>
      <c r="AS76" s="14"/>
      <c r="AT76" s="14"/>
      <c r="AU76" s="14"/>
      <c r="AV76" s="14"/>
    </row>
    <row r="77" spans="1:48" x14ac:dyDescent="0.2">
      <c r="AN77" s="14"/>
      <c r="AO77" s="14"/>
      <c r="AP77" s="14"/>
      <c r="AQ77" s="14"/>
      <c r="AR77" s="14"/>
      <c r="AS77" s="14"/>
      <c r="AT77" s="14"/>
      <c r="AU77" s="14"/>
      <c r="AV77" s="14"/>
    </row>
    <row r="78" spans="1:48" x14ac:dyDescent="0.2">
      <c r="AN78" s="14"/>
      <c r="AO78" s="14"/>
      <c r="AP78" s="14"/>
      <c r="AQ78" s="14"/>
      <c r="AR78" s="14"/>
      <c r="AS78" s="14"/>
      <c r="AT78" s="14"/>
      <c r="AU78" s="14"/>
      <c r="AV78" s="14"/>
    </row>
    <row r="79" spans="1:48" x14ac:dyDescent="0.2">
      <c r="AN79" s="14"/>
      <c r="AO79" s="14"/>
      <c r="AP79" s="14"/>
      <c r="AQ79" s="14"/>
      <c r="AR79" s="14"/>
      <c r="AS79" s="14"/>
      <c r="AT79" s="14"/>
      <c r="AU79" s="14"/>
      <c r="AV79" s="14"/>
    </row>
    <row r="80" spans="1:48" x14ac:dyDescent="0.2">
      <c r="AN80" s="14"/>
      <c r="AO80" s="14"/>
      <c r="AP80" s="14"/>
      <c r="AQ80" s="14"/>
      <c r="AR80" s="14"/>
      <c r="AS80" s="14"/>
      <c r="AT80" s="14"/>
      <c r="AU80" s="14"/>
      <c r="AV80" s="14"/>
    </row>
    <row r="81" spans="40:48" x14ac:dyDescent="0.2">
      <c r="AN81" s="14"/>
      <c r="AO81" s="14"/>
      <c r="AP81" s="14"/>
      <c r="AQ81" s="14"/>
      <c r="AR81" s="14"/>
      <c r="AS81" s="14"/>
      <c r="AT81" s="14"/>
      <c r="AU81" s="14"/>
      <c r="AV81" s="14"/>
    </row>
    <row r="82" spans="40:48" x14ac:dyDescent="0.2">
      <c r="AN82" s="14"/>
      <c r="AO82" s="14"/>
      <c r="AP82" s="14"/>
      <c r="AQ82" s="14"/>
      <c r="AR82" s="14"/>
      <c r="AS82" s="14"/>
      <c r="AT82" s="14"/>
      <c r="AU82" s="14"/>
      <c r="AV82" s="14"/>
    </row>
    <row r="83" spans="40:48" x14ac:dyDescent="0.2">
      <c r="AN83" s="14"/>
      <c r="AO83" s="14"/>
      <c r="AP83" s="14"/>
      <c r="AQ83" s="14"/>
      <c r="AR83" s="14"/>
      <c r="AS83" s="14"/>
      <c r="AT83" s="14"/>
      <c r="AU83" s="14"/>
      <c r="AV83" s="14"/>
    </row>
    <row r="84" spans="40:48" x14ac:dyDescent="0.2">
      <c r="AN84" s="14"/>
      <c r="AO84" s="14"/>
      <c r="AP84" s="14"/>
      <c r="AQ84" s="14"/>
      <c r="AR84" s="14"/>
      <c r="AS84" s="14"/>
      <c r="AT84" s="14"/>
      <c r="AU84" s="14"/>
      <c r="AV84" s="14"/>
    </row>
    <row r="85" spans="40:48" x14ac:dyDescent="0.2">
      <c r="AN85" s="14"/>
      <c r="AO85" s="14"/>
      <c r="AP85" s="14"/>
      <c r="AQ85" s="14"/>
      <c r="AR85" s="14"/>
      <c r="AS85" s="14"/>
      <c r="AT85" s="14"/>
      <c r="AU85" s="14"/>
      <c r="AV85" s="14"/>
    </row>
    <row r="86" spans="40:48" x14ac:dyDescent="0.2">
      <c r="AN86" s="14"/>
      <c r="AO86" s="14"/>
      <c r="AP86" s="14"/>
      <c r="AQ86" s="14"/>
      <c r="AR86" s="14"/>
      <c r="AS86" s="14"/>
      <c r="AT86" s="14"/>
      <c r="AU86" s="14"/>
      <c r="AV86" s="14"/>
    </row>
    <row r="87" spans="40:48" x14ac:dyDescent="0.2">
      <c r="AN87" s="14"/>
      <c r="AO87" s="14"/>
      <c r="AP87" s="14"/>
      <c r="AQ87" s="14"/>
      <c r="AR87" s="14"/>
      <c r="AS87" s="14"/>
      <c r="AT87" s="14"/>
      <c r="AU87" s="14"/>
      <c r="AV87" s="14"/>
    </row>
    <row r="88" spans="40:48" x14ac:dyDescent="0.2">
      <c r="AN88" s="14"/>
      <c r="AO88" s="14"/>
      <c r="AP88" s="14"/>
      <c r="AQ88" s="14"/>
      <c r="AR88" s="14"/>
      <c r="AS88" s="14"/>
      <c r="AT88" s="14"/>
      <c r="AU88" s="14"/>
      <c r="AV88" s="14"/>
    </row>
    <row r="89" spans="40:48" x14ac:dyDescent="0.2">
      <c r="AN89" s="14"/>
      <c r="AO89" s="14"/>
      <c r="AP89" s="14"/>
      <c r="AQ89" s="14"/>
      <c r="AR89" s="14"/>
      <c r="AS89" s="14"/>
      <c r="AT89" s="14"/>
      <c r="AU89" s="14"/>
      <c r="AV89" s="14"/>
    </row>
    <row r="90" spans="40:48" x14ac:dyDescent="0.2">
      <c r="AN90" s="14"/>
      <c r="AO90" s="14"/>
      <c r="AP90" s="14"/>
      <c r="AQ90" s="14"/>
      <c r="AR90" s="14"/>
      <c r="AS90" s="14"/>
      <c r="AT90" s="14"/>
      <c r="AU90" s="14"/>
      <c r="AV90" s="14"/>
    </row>
    <row r="91" spans="40:48" x14ac:dyDescent="0.2">
      <c r="AN91" s="14"/>
      <c r="AO91" s="14"/>
      <c r="AP91" s="14"/>
      <c r="AQ91" s="14"/>
      <c r="AR91" s="14"/>
      <c r="AS91" s="14"/>
      <c r="AT91" s="14"/>
      <c r="AU91" s="14"/>
      <c r="AV91" s="14"/>
    </row>
  </sheetData>
  <printOptions horizontalCentered="1"/>
  <pageMargins left="0" right="0" top="0" bottom="0" header="0.25" footer="0.25"/>
  <pageSetup scale="39" orientation="landscape" r:id="rId1"/>
  <headerFooter>
    <oddFooter>&amp;RSchedule A-13
Page &amp;P of &amp;N</oddFooter>
  </headerFooter>
  <colBreaks count="1" manualBreakCount="1">
    <brk id="24" max="69" man="1"/>
  </colBreak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CB9E-1BD5-4BB6-8D3A-30B389A60E12}">
  <sheetPr transitionEvaluation="1" transitionEntry="1"/>
  <dimension ref="A1:HS395"/>
  <sheetViews>
    <sheetView defaultGridColor="0" view="pageBreakPreview" topLeftCell="G1" colorId="22" zoomScaleNormal="100" zoomScaleSheetLayoutView="100" workbookViewId="0">
      <selection activeCell="K6" sqref="K6"/>
    </sheetView>
  </sheetViews>
  <sheetFormatPr defaultColWidth="9.77734375" defaultRowHeight="15" x14ac:dyDescent="0.2"/>
  <cols>
    <col min="1" max="1" width="20.44140625" style="11" customWidth="1"/>
    <col min="2" max="2" width="10.109375" style="11" customWidth="1"/>
    <col min="3" max="3" width="11.109375" style="11" customWidth="1"/>
    <col min="4" max="4" width="9.5546875" style="11" customWidth="1"/>
    <col min="5" max="5" width="10.44140625" style="11" bestFit="1" customWidth="1"/>
    <col min="6" max="6" width="9.21875" style="11" customWidth="1"/>
    <col min="7" max="7" width="10.6640625" style="11" customWidth="1"/>
    <col min="8" max="8" width="11.21875" style="11" customWidth="1"/>
    <col min="9" max="9" width="11.77734375" style="11" customWidth="1"/>
    <col min="10" max="11" width="12.44140625" style="11" bestFit="1" customWidth="1"/>
    <col min="12" max="12" width="10" style="11" customWidth="1"/>
    <col min="13" max="13" width="10.109375" style="11" customWidth="1"/>
    <col min="14" max="14" width="15.44140625" style="11" customWidth="1"/>
    <col min="15" max="15" width="15.44140625" style="11" bestFit="1" customWidth="1"/>
    <col min="16" max="17" width="10.77734375" style="11" bestFit="1" customWidth="1"/>
    <col min="18" max="18" width="9.6640625" style="11" bestFit="1" customWidth="1"/>
    <col min="19" max="19" width="10.44140625" style="11" bestFit="1" customWidth="1"/>
    <col min="20" max="20" width="1.6640625" style="11" customWidth="1"/>
    <col min="21" max="16384" width="9.77734375" style="11"/>
  </cols>
  <sheetData>
    <row r="1" spans="1:207" s="1" customFormat="1" ht="20.25" x14ac:dyDescent="0.35">
      <c r="A1" s="151" t="str">
        <f>[2]INFORMATION!A1</f>
        <v>M&amp;I 2023 Sch A-13 F.Z25.XLSM</v>
      </c>
      <c r="B1" s="151"/>
      <c r="C1" s="151"/>
      <c r="D1" s="151"/>
      <c r="E1" s="151"/>
      <c r="F1" s="152"/>
      <c r="G1" s="152"/>
      <c r="H1" s="152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6"/>
    </row>
    <row r="2" spans="1:207" s="1" customFormat="1" ht="20.25" x14ac:dyDescent="0.35">
      <c r="A2" s="153" t="str">
        <f>[2]INFORMATION!A2</f>
        <v>09/13/2022</v>
      </c>
      <c r="B2" s="153"/>
      <c r="C2" s="153"/>
      <c r="D2" s="153"/>
      <c r="E2" s="153"/>
      <c r="F2" s="152"/>
      <c r="G2" s="152"/>
      <c r="H2" s="152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6"/>
    </row>
    <row r="3" spans="1:207" s="36" customFormat="1" ht="20.25" x14ac:dyDescent="0.35">
      <c r="A3" s="154" t="str">
        <f>PAGE_1!A3</f>
        <v>CENTRAL VALLEY PROJECT</v>
      </c>
      <c r="B3" s="155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37"/>
    </row>
    <row r="4" spans="1:207" s="36" customFormat="1" ht="20.25" x14ac:dyDescent="0.35">
      <c r="A4" s="154" t="str">
        <f>PAGE_1!A4</f>
        <v>SCHEDULE OF HISTORICAL (1981-2021) &amp; PROJECTED (2022-2030) M&amp;I WATER DELIVERIES</v>
      </c>
      <c r="B4" s="155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28"/>
    </row>
    <row r="5" spans="1:207" s="36" customFormat="1" ht="20.25" x14ac:dyDescent="0.35">
      <c r="A5" s="155" t="str">
        <f>PAGE_1!A5</f>
        <v xml:space="preserve">AND PRESENT WORTH @ .023755 FOR CALCULATION OF INDIVIDUAL CONTRACTOR PRORATED CONSTRUCTION COSTS AND RATE   </v>
      </c>
      <c r="B5" s="155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28"/>
    </row>
    <row r="6" spans="1:207" s="6" customFormat="1" ht="138" x14ac:dyDescent="0.3">
      <c r="A6" s="136" t="s">
        <v>0</v>
      </c>
      <c r="B6" s="161" t="s">
        <v>253</v>
      </c>
      <c r="C6" s="162" t="s">
        <v>254</v>
      </c>
      <c r="D6" s="163" t="s">
        <v>255</v>
      </c>
      <c r="E6" s="164" t="s">
        <v>256</v>
      </c>
      <c r="F6" s="150" t="s">
        <v>257</v>
      </c>
      <c r="G6" s="138" t="s">
        <v>258</v>
      </c>
      <c r="H6" s="140" t="s">
        <v>259</v>
      </c>
      <c r="I6" s="139" t="s">
        <v>260</v>
      </c>
      <c r="J6" s="140" t="s">
        <v>261</v>
      </c>
      <c r="K6" s="140" t="s">
        <v>262</v>
      </c>
      <c r="L6" s="138" t="s">
        <v>73</v>
      </c>
      <c r="M6" s="138" t="s">
        <v>74</v>
      </c>
      <c r="N6" s="138" t="s">
        <v>75</v>
      </c>
      <c r="O6" s="140" t="s">
        <v>76</v>
      </c>
      <c r="P6" s="140" t="s">
        <v>77</v>
      </c>
      <c r="Q6" s="140" t="s">
        <v>78</v>
      </c>
      <c r="R6" s="140" t="s">
        <v>79</v>
      </c>
      <c r="S6" s="141" t="s">
        <v>80</v>
      </c>
      <c r="T6" s="5"/>
    </row>
    <row r="7" spans="1:207" ht="17.649999999999999" customHeight="1" x14ac:dyDescent="0.3">
      <c r="A7" s="156" t="s">
        <v>4</v>
      </c>
      <c r="B7" s="124">
        <v>123</v>
      </c>
      <c r="C7" s="124"/>
      <c r="D7" s="124">
        <f>SUM(PAGE_3!L7,PAGE_3!N7,PAGE_3!Q7,,PAGE_3!S7,PAGE_3!U7,B7)</f>
        <v>5914</v>
      </c>
      <c r="E7" s="124"/>
      <c r="F7" s="130"/>
      <c r="G7" s="130"/>
      <c r="H7" s="124">
        <v>9638</v>
      </c>
      <c r="I7" s="124"/>
      <c r="J7" s="124">
        <v>7043</v>
      </c>
      <c r="K7" s="124"/>
      <c r="L7" s="157">
        <v>0</v>
      </c>
      <c r="M7" s="125"/>
      <c r="N7" s="157">
        <v>0</v>
      </c>
      <c r="O7" s="124"/>
      <c r="P7" s="124">
        <v>5008</v>
      </c>
      <c r="Q7" s="124"/>
      <c r="R7" s="124">
        <f t="shared" ref="R7:S49" si="0">+F7+H7+J7+N7+P7+L7</f>
        <v>21689</v>
      </c>
      <c r="S7" s="124"/>
      <c r="T7" s="3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</row>
    <row r="8" spans="1:207" ht="17.649999999999999" customHeight="1" x14ac:dyDescent="0.3">
      <c r="A8" s="156" t="s">
        <v>5</v>
      </c>
      <c r="B8" s="124">
        <v>119</v>
      </c>
      <c r="C8" s="124"/>
      <c r="D8" s="124">
        <f>SUM(PAGE_3!L8,PAGE_3!N8,PAGE_3!Q8,,PAGE_3!S8,PAGE_3!U8,B8)</f>
        <v>5872</v>
      </c>
      <c r="E8" s="124"/>
      <c r="F8" s="130"/>
      <c r="G8" s="130"/>
      <c r="H8" s="124">
        <v>10904</v>
      </c>
      <c r="I8" s="124"/>
      <c r="J8" s="124">
        <v>5931</v>
      </c>
      <c r="K8" s="124"/>
      <c r="L8" s="157">
        <v>0</v>
      </c>
      <c r="M8" s="125"/>
      <c r="N8" s="157">
        <v>0</v>
      </c>
      <c r="O8" s="124"/>
      <c r="P8" s="124">
        <v>5572</v>
      </c>
      <c r="Q8" s="124"/>
      <c r="R8" s="124">
        <f t="shared" si="0"/>
        <v>22407</v>
      </c>
      <c r="S8" s="124"/>
      <c r="T8" s="3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</row>
    <row r="9" spans="1:207" ht="17.649999999999999" customHeight="1" x14ac:dyDescent="0.3">
      <c r="A9" s="156" t="s">
        <v>6</v>
      </c>
      <c r="B9" s="124">
        <v>131</v>
      </c>
      <c r="C9" s="124"/>
      <c r="D9" s="124">
        <f>SUM(PAGE_3!L9,PAGE_3!N9,PAGE_3!Q9,,PAGE_3!S9,PAGE_3!U9,B9)</f>
        <v>5802</v>
      </c>
      <c r="E9" s="124"/>
      <c r="F9" s="130"/>
      <c r="G9" s="130"/>
      <c r="H9" s="124">
        <v>12020</v>
      </c>
      <c r="I9" s="124"/>
      <c r="J9" s="124">
        <v>6326</v>
      </c>
      <c r="K9" s="124"/>
      <c r="L9" s="157">
        <v>0</v>
      </c>
      <c r="M9" s="125"/>
      <c r="N9" s="157">
        <v>0</v>
      </c>
      <c r="O9" s="124"/>
      <c r="P9" s="124">
        <v>5578</v>
      </c>
      <c r="Q9" s="124"/>
      <c r="R9" s="124">
        <f t="shared" si="0"/>
        <v>23924</v>
      </c>
      <c r="S9" s="124"/>
      <c r="T9" s="3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</row>
    <row r="10" spans="1:207" ht="17.649999999999999" customHeight="1" x14ac:dyDescent="0.3">
      <c r="A10" s="156" t="s">
        <v>7</v>
      </c>
      <c r="B10" s="124">
        <v>145</v>
      </c>
      <c r="C10" s="124"/>
      <c r="D10" s="124">
        <f>SUM(PAGE_3!L10,PAGE_3!N10,PAGE_3!Q10,,PAGE_3!S10,PAGE_3!U10,B10)</f>
        <v>5700</v>
      </c>
      <c r="E10" s="124"/>
      <c r="F10" s="130"/>
      <c r="G10" s="130"/>
      <c r="H10" s="124">
        <v>12607</v>
      </c>
      <c r="I10" s="124"/>
      <c r="J10" s="124">
        <v>6800</v>
      </c>
      <c r="K10" s="124"/>
      <c r="L10" s="157">
        <v>0</v>
      </c>
      <c r="M10" s="125"/>
      <c r="N10" s="157">
        <v>0</v>
      </c>
      <c r="O10" s="124"/>
      <c r="P10" s="124">
        <v>6003</v>
      </c>
      <c r="Q10" s="124"/>
      <c r="R10" s="124">
        <f t="shared" si="0"/>
        <v>25410</v>
      </c>
      <c r="S10" s="124"/>
      <c r="T10" s="3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</row>
    <row r="11" spans="1:207" ht="17.649999999999999" customHeight="1" x14ac:dyDescent="0.3">
      <c r="A11" s="156" t="s">
        <v>8</v>
      </c>
      <c r="B11" s="124">
        <v>64</v>
      </c>
      <c r="C11" s="124"/>
      <c r="D11" s="124">
        <f>SUM(PAGE_3!L11,PAGE_3!N11,PAGE_3!Q11,,PAGE_3!S11,PAGE_3!U11,B11)</f>
        <v>5951</v>
      </c>
      <c r="E11" s="124"/>
      <c r="F11" s="130"/>
      <c r="G11" s="130"/>
      <c r="H11" s="124">
        <v>11037</v>
      </c>
      <c r="I11" s="124"/>
      <c r="J11" s="124">
        <v>7396</v>
      </c>
      <c r="K11" s="124"/>
      <c r="L11" s="157">
        <v>0</v>
      </c>
      <c r="M11" s="125"/>
      <c r="N11" s="157">
        <v>0</v>
      </c>
      <c r="O11" s="124"/>
      <c r="P11" s="124">
        <v>7427</v>
      </c>
      <c r="Q11" s="124"/>
      <c r="R11" s="124">
        <f t="shared" si="0"/>
        <v>25860</v>
      </c>
      <c r="S11" s="124"/>
      <c r="T11" s="3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</row>
    <row r="12" spans="1:207" ht="17.649999999999999" customHeight="1" x14ac:dyDescent="0.3">
      <c r="A12" s="156" t="s">
        <v>9</v>
      </c>
      <c r="B12" s="124">
        <v>92</v>
      </c>
      <c r="C12" s="124"/>
      <c r="D12" s="124">
        <f>SUM(PAGE_3!L12,PAGE_3!N12,PAGE_3!Q12,,PAGE_3!S12,PAGE_3!U12,B12)</f>
        <v>5428</v>
      </c>
      <c r="E12" s="124"/>
      <c r="F12" s="130"/>
      <c r="G12" s="130"/>
      <c r="H12" s="124">
        <v>11182</v>
      </c>
      <c r="I12" s="124"/>
      <c r="J12" s="124">
        <v>7286</v>
      </c>
      <c r="K12" s="124"/>
      <c r="L12" s="157">
        <v>0</v>
      </c>
      <c r="M12" s="125"/>
      <c r="N12" s="157">
        <v>0</v>
      </c>
      <c r="O12" s="124"/>
      <c r="P12" s="124">
        <v>11551</v>
      </c>
      <c r="Q12" s="124"/>
      <c r="R12" s="124">
        <f t="shared" si="0"/>
        <v>30019</v>
      </c>
      <c r="S12" s="124"/>
      <c r="T12" s="3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</row>
    <row r="13" spans="1:207" ht="17.649999999999999" customHeight="1" x14ac:dyDescent="0.3">
      <c r="A13" s="156" t="s">
        <v>10</v>
      </c>
      <c r="B13" s="124">
        <v>142</v>
      </c>
      <c r="C13" s="124"/>
      <c r="D13" s="124">
        <f>SUM(PAGE_3!L13,PAGE_3!N13,PAGE_3!Q13,,PAGE_3!S13,PAGE_3!U13,B13)</f>
        <v>6542</v>
      </c>
      <c r="E13" s="124"/>
      <c r="F13" s="130"/>
      <c r="G13" s="130"/>
      <c r="H13" s="124">
        <v>12401</v>
      </c>
      <c r="I13" s="124"/>
      <c r="J13" s="124">
        <v>8647</v>
      </c>
      <c r="K13" s="124"/>
      <c r="L13" s="157">
        <v>0</v>
      </c>
      <c r="M13" s="125"/>
      <c r="N13" s="157">
        <v>0</v>
      </c>
      <c r="O13" s="124"/>
      <c r="P13" s="124">
        <v>7942</v>
      </c>
      <c r="Q13" s="124"/>
      <c r="R13" s="124">
        <f t="shared" si="0"/>
        <v>28990</v>
      </c>
      <c r="S13" s="124"/>
      <c r="T13" s="3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</row>
    <row r="14" spans="1:207" ht="17.649999999999999" customHeight="1" x14ac:dyDescent="0.3">
      <c r="A14" s="156" t="s">
        <v>11</v>
      </c>
      <c r="B14" s="124">
        <v>148</v>
      </c>
      <c r="C14" s="124"/>
      <c r="D14" s="124">
        <f>SUM(PAGE_3!L14,PAGE_3!N14,PAGE_3!Q14,,PAGE_3!S14,PAGE_3!U14,B14)</f>
        <v>8122</v>
      </c>
      <c r="E14" s="124"/>
      <c r="F14" s="130"/>
      <c r="G14" s="130"/>
      <c r="H14" s="124">
        <v>13664</v>
      </c>
      <c r="I14" s="124"/>
      <c r="J14" s="124">
        <v>8440</v>
      </c>
      <c r="K14" s="124"/>
      <c r="L14" s="157">
        <v>0</v>
      </c>
      <c r="M14" s="125"/>
      <c r="N14" s="157">
        <v>0</v>
      </c>
      <c r="O14" s="124"/>
      <c r="P14" s="124">
        <v>12020</v>
      </c>
      <c r="Q14" s="124"/>
      <c r="R14" s="124">
        <f t="shared" si="0"/>
        <v>34124</v>
      </c>
      <c r="S14" s="124"/>
      <c r="T14" s="3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</row>
    <row r="15" spans="1:207" ht="17.649999999999999" customHeight="1" x14ac:dyDescent="0.3">
      <c r="A15" s="156" t="s">
        <v>12</v>
      </c>
      <c r="B15" s="124">
        <v>100</v>
      </c>
      <c r="C15" s="124"/>
      <c r="D15" s="124">
        <f>SUM(PAGE_3!L15,PAGE_3!N15,PAGE_3!Q15,,PAGE_3!S15,PAGE_3!U15,B15)</f>
        <v>4131</v>
      </c>
      <c r="E15" s="124"/>
      <c r="F15" s="130"/>
      <c r="G15" s="130"/>
      <c r="H15" s="124">
        <v>13589</v>
      </c>
      <c r="I15" s="124"/>
      <c r="J15" s="124">
        <v>6106</v>
      </c>
      <c r="K15" s="124"/>
      <c r="L15" s="157">
        <v>0</v>
      </c>
      <c r="M15" s="125"/>
      <c r="N15" s="157">
        <v>0</v>
      </c>
      <c r="O15" s="124"/>
      <c r="P15" s="124">
        <f>8192+720</f>
        <v>8912</v>
      </c>
      <c r="Q15" s="124"/>
      <c r="R15" s="124">
        <f t="shared" si="0"/>
        <v>28607</v>
      </c>
      <c r="S15" s="124"/>
      <c r="T15" s="3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</row>
    <row r="16" spans="1:207" ht="17.649999999999999" customHeight="1" x14ac:dyDescent="0.3">
      <c r="A16" s="156" t="s">
        <v>13</v>
      </c>
      <c r="B16" s="124">
        <v>122</v>
      </c>
      <c r="C16" s="124"/>
      <c r="D16" s="124">
        <f>SUM(PAGE_3!L16,PAGE_3!N16,PAGE_3!Q16,,PAGE_3!S16,PAGE_3!U16,B16)</f>
        <v>5531</v>
      </c>
      <c r="E16" s="124"/>
      <c r="F16" s="130"/>
      <c r="G16" s="130"/>
      <c r="H16" s="124">
        <v>10235</v>
      </c>
      <c r="I16" s="124"/>
      <c r="J16" s="124">
        <v>7380</v>
      </c>
      <c r="K16" s="124"/>
      <c r="L16" s="157">
        <v>0</v>
      </c>
      <c r="M16" s="125"/>
      <c r="N16" s="157">
        <v>0</v>
      </c>
      <c r="O16" s="124"/>
      <c r="P16" s="124">
        <v>9839</v>
      </c>
      <c r="Q16" s="124"/>
      <c r="R16" s="124">
        <f t="shared" si="0"/>
        <v>27454</v>
      </c>
      <c r="S16" s="124"/>
      <c r="T16" s="3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</row>
    <row r="17" spans="1:207" ht="17.649999999999999" customHeight="1" x14ac:dyDescent="0.3">
      <c r="A17" s="156" t="s">
        <v>14</v>
      </c>
      <c r="B17" s="124">
        <v>116</v>
      </c>
      <c r="C17" s="124"/>
      <c r="D17" s="124">
        <f>SUM(PAGE_3!L17,PAGE_3!N17,PAGE_3!Q17,,PAGE_3!S17,PAGE_3!U17,B17)</f>
        <v>5586</v>
      </c>
      <c r="E17" s="124"/>
      <c r="F17" s="130"/>
      <c r="G17" s="130"/>
      <c r="H17" s="124">
        <v>29519</v>
      </c>
      <c r="I17" s="124"/>
      <c r="J17" s="124">
        <v>4011</v>
      </c>
      <c r="K17" s="124"/>
      <c r="L17" s="157">
        <v>0</v>
      </c>
      <c r="M17" s="125"/>
      <c r="N17" s="157">
        <v>0</v>
      </c>
      <c r="O17" s="124"/>
      <c r="P17" s="124">
        <v>7213</v>
      </c>
      <c r="Q17" s="124"/>
      <c r="R17" s="124">
        <f t="shared" si="0"/>
        <v>40743</v>
      </c>
      <c r="S17" s="124"/>
      <c r="T17" s="3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</row>
    <row r="18" spans="1:207" ht="17.649999999999999" customHeight="1" x14ac:dyDescent="0.3">
      <c r="A18" s="156" t="s">
        <v>15</v>
      </c>
      <c r="B18" s="124">
        <v>127</v>
      </c>
      <c r="C18" s="124"/>
      <c r="D18" s="124">
        <f>SUM(PAGE_3!L18,PAGE_3!N18,PAGE_3!Q18,,PAGE_3!S18,PAGE_3!U18,B18)</f>
        <v>7221</v>
      </c>
      <c r="E18" s="124"/>
      <c r="F18" s="130"/>
      <c r="G18" s="130"/>
      <c r="H18" s="124">
        <v>20010</v>
      </c>
      <c r="I18" s="124"/>
      <c r="J18" s="124">
        <v>1247</v>
      </c>
      <c r="K18" s="124"/>
      <c r="L18" s="157">
        <v>0</v>
      </c>
      <c r="M18" s="125"/>
      <c r="N18" s="157">
        <v>0</v>
      </c>
      <c r="O18" s="124"/>
      <c r="P18" s="124">
        <v>2103</v>
      </c>
      <c r="Q18" s="124"/>
      <c r="R18" s="124">
        <f t="shared" si="0"/>
        <v>23360</v>
      </c>
      <c r="S18" s="124"/>
      <c r="T18" s="3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</row>
    <row r="19" spans="1:207" ht="17.649999999999999" customHeight="1" x14ac:dyDescent="0.3">
      <c r="A19" s="156" t="s">
        <v>16</v>
      </c>
      <c r="B19" s="124">
        <v>120</v>
      </c>
      <c r="C19" s="124"/>
      <c r="D19" s="124">
        <f>SUM(PAGE_3!L19,PAGE_3!N19,PAGE_3!Q19,,PAGE_3!S19,PAGE_3!U19,B19)</f>
        <v>8005</v>
      </c>
      <c r="E19" s="124"/>
      <c r="F19" s="130"/>
      <c r="G19" s="130"/>
      <c r="H19" s="124">
        <v>12138</v>
      </c>
      <c r="I19" s="124"/>
      <c r="J19" s="124">
        <v>2615</v>
      </c>
      <c r="K19" s="124"/>
      <c r="L19" s="157">
        <v>0</v>
      </c>
      <c r="M19" s="125"/>
      <c r="N19" s="157">
        <v>0</v>
      </c>
      <c r="O19" s="124"/>
      <c r="P19" s="124">
        <v>6142</v>
      </c>
      <c r="Q19" s="124"/>
      <c r="R19" s="124">
        <f t="shared" si="0"/>
        <v>20895</v>
      </c>
      <c r="S19" s="124"/>
      <c r="T19" s="3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</row>
    <row r="20" spans="1:207" ht="17.649999999999999" customHeight="1" x14ac:dyDescent="0.3">
      <c r="A20" s="156" t="s">
        <v>17</v>
      </c>
      <c r="B20" s="124">
        <v>127</v>
      </c>
      <c r="C20" s="124"/>
      <c r="D20" s="124">
        <f>SUM(PAGE_3!L20,PAGE_3!N20,PAGE_3!Q20,,PAGE_3!S20,PAGE_3!U20,B20)</f>
        <v>7843</v>
      </c>
      <c r="E20" s="124"/>
      <c r="F20" s="130"/>
      <c r="G20" s="130"/>
      <c r="H20" s="124">
        <v>18603</v>
      </c>
      <c r="I20" s="124"/>
      <c r="J20" s="124">
        <v>7845</v>
      </c>
      <c r="K20" s="124"/>
      <c r="L20" s="157">
        <v>0</v>
      </c>
      <c r="M20" s="125"/>
      <c r="N20" s="157">
        <v>0</v>
      </c>
      <c r="O20" s="124"/>
      <c r="P20" s="124">
        <v>4245</v>
      </c>
      <c r="Q20" s="124"/>
      <c r="R20" s="124">
        <f t="shared" si="0"/>
        <v>30693</v>
      </c>
      <c r="S20" s="124"/>
      <c r="T20" s="3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</row>
    <row r="21" spans="1:207" ht="17.649999999999999" customHeight="1" x14ac:dyDescent="0.3">
      <c r="A21" s="156" t="s">
        <v>18</v>
      </c>
      <c r="B21" s="124">
        <v>129</v>
      </c>
      <c r="C21" s="124"/>
      <c r="D21" s="124">
        <f>SUM(PAGE_3!L21,PAGE_3!N21,PAGE_3!Q21,,PAGE_3!S21,PAGE_3!U21,B21)</f>
        <v>7963</v>
      </c>
      <c r="E21" s="124"/>
      <c r="F21" s="130"/>
      <c r="G21" s="130"/>
      <c r="H21" s="124">
        <v>23313</v>
      </c>
      <c r="I21" s="124"/>
      <c r="J21" s="124">
        <v>8999</v>
      </c>
      <c r="K21" s="124"/>
      <c r="L21" s="157">
        <v>0</v>
      </c>
      <c r="M21" s="125"/>
      <c r="N21" s="157">
        <v>0</v>
      </c>
      <c r="O21" s="124"/>
      <c r="P21" s="124">
        <v>8045</v>
      </c>
      <c r="Q21" s="124"/>
      <c r="R21" s="124">
        <f t="shared" si="0"/>
        <v>40357</v>
      </c>
      <c r="S21" s="124"/>
      <c r="T21" s="3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</row>
    <row r="22" spans="1:207" ht="17.649999999999999" customHeight="1" x14ac:dyDescent="0.3">
      <c r="A22" s="130" t="s">
        <v>19</v>
      </c>
      <c r="B22" s="124">
        <v>203</v>
      </c>
      <c r="C22" s="124"/>
      <c r="D22" s="124">
        <f>SUM(PAGE_3!L22,PAGE_3!N22,PAGE_3!Q22,,PAGE_3!S22,PAGE_3!U22,B22)</f>
        <v>11410</v>
      </c>
      <c r="E22" s="124"/>
      <c r="F22" s="130"/>
      <c r="G22" s="130"/>
      <c r="H22" s="125">
        <v>21838</v>
      </c>
      <c r="I22" s="125"/>
      <c r="J22" s="125">
        <v>7405</v>
      </c>
      <c r="K22" s="125"/>
      <c r="L22" s="157">
        <v>0</v>
      </c>
      <c r="M22" s="125"/>
      <c r="N22" s="157">
        <v>0</v>
      </c>
      <c r="O22" s="125"/>
      <c r="P22" s="125">
        <v>20164</v>
      </c>
      <c r="Q22" s="125"/>
      <c r="R22" s="124">
        <f t="shared" si="0"/>
        <v>49407</v>
      </c>
      <c r="S22" s="124"/>
      <c r="T22" s="33"/>
      <c r="U22" s="38"/>
      <c r="V22" s="38"/>
      <c r="W22" s="38"/>
      <c r="X22" s="38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</row>
    <row r="23" spans="1:207" ht="17.649999999999999" customHeight="1" x14ac:dyDescent="0.3">
      <c r="A23" s="156" t="s">
        <v>20</v>
      </c>
      <c r="B23" s="124">
        <v>162</v>
      </c>
      <c r="C23" s="124"/>
      <c r="D23" s="124">
        <f>SUM(PAGE_3!L23,PAGE_3!N23,PAGE_3!Q23,,PAGE_3!S23,PAGE_3!U23,B23)</f>
        <v>11625</v>
      </c>
      <c r="E23" s="124"/>
      <c r="F23" s="130"/>
      <c r="G23" s="130"/>
      <c r="H23" s="124">
        <v>23126</v>
      </c>
      <c r="I23" s="124"/>
      <c r="J23" s="124">
        <v>8130</v>
      </c>
      <c r="K23" s="124"/>
      <c r="L23" s="128">
        <v>0</v>
      </c>
      <c r="M23" s="125"/>
      <c r="N23" s="128">
        <v>0</v>
      </c>
      <c r="O23" s="124"/>
      <c r="P23" s="124">
        <v>22216</v>
      </c>
      <c r="Q23" s="124"/>
      <c r="R23" s="124">
        <f t="shared" si="0"/>
        <v>53472</v>
      </c>
      <c r="S23" s="125"/>
      <c r="T23" s="3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</row>
    <row r="24" spans="1:207" ht="17.649999999999999" customHeight="1" x14ac:dyDescent="0.3">
      <c r="A24" s="156" t="s">
        <v>21</v>
      </c>
      <c r="B24" s="124">
        <v>132</v>
      </c>
      <c r="C24" s="124" t="s">
        <v>23</v>
      </c>
      <c r="D24" s="124">
        <f>SUM(PAGE_3!L24,PAGE_3!N24,PAGE_3!Q24,,PAGE_3!S24,PAGE_3!U24,B24)</f>
        <v>7654</v>
      </c>
      <c r="E24" s="124"/>
      <c r="F24" s="130"/>
      <c r="G24" s="130"/>
      <c r="H24" s="124">
        <v>18756</v>
      </c>
      <c r="I24" s="124"/>
      <c r="J24" s="124">
        <v>7474</v>
      </c>
      <c r="K24" s="124"/>
      <c r="L24" s="128">
        <v>0</v>
      </c>
      <c r="M24" s="125"/>
      <c r="N24" s="128">
        <v>0</v>
      </c>
      <c r="O24" s="124"/>
      <c r="P24" s="124">
        <v>12036</v>
      </c>
      <c r="Q24" s="124"/>
      <c r="R24" s="124">
        <f t="shared" si="0"/>
        <v>38266</v>
      </c>
      <c r="S24" s="125"/>
      <c r="T24" s="33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</row>
    <row r="25" spans="1:207" ht="17.649999999999999" customHeight="1" x14ac:dyDescent="0.3">
      <c r="A25" s="156" t="s">
        <v>22</v>
      </c>
      <c r="B25" s="124">
        <v>151</v>
      </c>
      <c r="C25" s="124" t="s">
        <v>23</v>
      </c>
      <c r="D25" s="124">
        <f>SUM(PAGE_3!L25,PAGE_3!N25,PAGE_3!Q25,,PAGE_3!S25,PAGE_3!U25,B25)</f>
        <v>7557</v>
      </c>
      <c r="E25" s="124" t="s">
        <v>23</v>
      </c>
      <c r="F25" s="130"/>
      <c r="G25" s="130"/>
      <c r="H25" s="124">
        <v>28300</v>
      </c>
      <c r="I25" s="124"/>
      <c r="J25" s="124">
        <v>9117</v>
      </c>
      <c r="K25" s="124"/>
      <c r="L25" s="128">
        <v>0</v>
      </c>
      <c r="M25" s="125"/>
      <c r="N25" s="128">
        <v>0</v>
      </c>
      <c r="O25" s="124"/>
      <c r="P25" s="124">
        <v>7861</v>
      </c>
      <c r="Q25" s="124"/>
      <c r="R25" s="124">
        <f t="shared" si="0"/>
        <v>45278</v>
      </c>
      <c r="S25" s="125" t="s">
        <v>23</v>
      </c>
      <c r="T25" s="2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</row>
    <row r="26" spans="1:207" ht="17.649999999999999" customHeight="1" x14ac:dyDescent="0.3">
      <c r="A26" s="156" t="s">
        <v>24</v>
      </c>
      <c r="B26" s="124">
        <v>96</v>
      </c>
      <c r="C26" s="124"/>
      <c r="D26" s="124">
        <f>SUM(PAGE_3!L26,PAGE_3!N26,PAGE_3!Q26,,PAGE_3!S26,PAGE_3!U26,B26)</f>
        <v>11084</v>
      </c>
      <c r="E26" s="124"/>
      <c r="F26" s="130"/>
      <c r="G26" s="130"/>
      <c r="H26" s="124">
        <v>29628</v>
      </c>
      <c r="I26" s="124"/>
      <c r="J26" s="124">
        <v>7365</v>
      </c>
      <c r="K26" s="125"/>
      <c r="L26" s="128">
        <v>0</v>
      </c>
      <c r="M26" s="125"/>
      <c r="N26" s="124">
        <v>1264</v>
      </c>
      <c r="O26" s="125"/>
      <c r="P26" s="124">
        <v>-15326</v>
      </c>
      <c r="Q26" s="125"/>
      <c r="R26" s="124">
        <f t="shared" si="0"/>
        <v>22931</v>
      </c>
      <c r="S26" s="125"/>
      <c r="T26" s="2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</row>
    <row r="27" spans="1:207" ht="17.649999999999999" customHeight="1" x14ac:dyDescent="0.3">
      <c r="A27" s="156" t="s">
        <v>25</v>
      </c>
      <c r="B27" s="124">
        <v>324</v>
      </c>
      <c r="C27" s="124"/>
      <c r="D27" s="124">
        <f>SUM(PAGE_3!L27,PAGE_3!N27,PAGE_3!Q27,,PAGE_3!S27,PAGE_3!U27,B27)</f>
        <v>8577</v>
      </c>
      <c r="E27" s="124"/>
      <c r="F27" s="130"/>
      <c r="G27" s="130"/>
      <c r="H27" s="124">
        <v>25782</v>
      </c>
      <c r="I27" s="124"/>
      <c r="J27" s="124">
        <v>7188</v>
      </c>
      <c r="K27" s="125"/>
      <c r="L27" s="128">
        <v>0</v>
      </c>
      <c r="M27" s="125"/>
      <c r="N27" s="124">
        <v>1996</v>
      </c>
      <c r="O27" s="125"/>
      <c r="P27" s="124">
        <v>11710</v>
      </c>
      <c r="Q27" s="125"/>
      <c r="R27" s="124">
        <f t="shared" si="0"/>
        <v>46676</v>
      </c>
      <c r="S27" s="124"/>
      <c r="T27" s="3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17.649999999999999" customHeight="1" x14ac:dyDescent="0.3">
      <c r="A28" s="158">
        <v>2002</v>
      </c>
      <c r="B28" s="124">
        <v>131</v>
      </c>
      <c r="C28" s="124"/>
      <c r="D28" s="124">
        <f>SUM(PAGE_3!L28,PAGE_3!N28,PAGE_3!Q28,,PAGE_3!S28,PAGE_3!U28,B28)</f>
        <v>8968</v>
      </c>
      <c r="E28" s="124"/>
      <c r="F28" s="130"/>
      <c r="G28" s="130"/>
      <c r="H28" s="124">
        <v>20096</v>
      </c>
      <c r="I28" s="124"/>
      <c r="J28" s="124">
        <v>5942</v>
      </c>
      <c r="K28" s="125"/>
      <c r="L28" s="128">
        <v>0</v>
      </c>
      <c r="M28" s="125"/>
      <c r="N28" s="124">
        <v>4312</v>
      </c>
      <c r="O28" s="125"/>
      <c r="P28" s="124">
        <v>7075</v>
      </c>
      <c r="Q28" s="125"/>
      <c r="R28" s="124">
        <f t="shared" si="0"/>
        <v>37425</v>
      </c>
      <c r="S28" s="124"/>
      <c r="T28" s="3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17.649999999999999" customHeight="1" x14ac:dyDescent="0.3">
      <c r="A29" s="158" t="s">
        <v>26</v>
      </c>
      <c r="B29" s="124">
        <v>146</v>
      </c>
      <c r="C29" s="124"/>
      <c r="D29" s="124">
        <f>SUM(PAGE_3!L29,PAGE_3!N29,PAGE_3!Q29,,PAGE_3!S29,PAGE_3!U29,B29)</f>
        <v>11303</v>
      </c>
      <c r="E29" s="124"/>
      <c r="F29" s="130"/>
      <c r="G29" s="130"/>
      <c r="H29" s="124">
        <v>31971</v>
      </c>
      <c r="I29" s="124"/>
      <c r="J29" s="124">
        <v>6080</v>
      </c>
      <c r="K29" s="125"/>
      <c r="L29" s="128">
        <v>0</v>
      </c>
      <c r="M29" s="125"/>
      <c r="N29" s="124">
        <v>3393</v>
      </c>
      <c r="O29" s="125"/>
      <c r="P29" s="124">
        <v>6448</v>
      </c>
      <c r="Q29" s="125"/>
      <c r="R29" s="124">
        <f t="shared" si="0"/>
        <v>47892</v>
      </c>
      <c r="S29" s="124"/>
      <c r="T29" s="3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17.649999999999999" customHeight="1" x14ac:dyDescent="0.3">
      <c r="A30" s="158">
        <v>2004</v>
      </c>
      <c r="B30" s="124">
        <v>207</v>
      </c>
      <c r="C30" s="124"/>
      <c r="D30" s="124">
        <f>SUM(PAGE_3!L30,PAGE_3!N30,PAGE_3!Q30,,PAGE_3!S30,PAGE_3!U30,B30)</f>
        <v>13933</v>
      </c>
      <c r="E30" s="124"/>
      <c r="F30" s="130"/>
      <c r="G30" s="130"/>
      <c r="H30" s="124">
        <v>31666</v>
      </c>
      <c r="I30" s="124"/>
      <c r="J30" s="124">
        <v>5495</v>
      </c>
      <c r="K30" s="125"/>
      <c r="L30" s="128">
        <v>0</v>
      </c>
      <c r="M30" s="125"/>
      <c r="N30" s="124">
        <v>4566</v>
      </c>
      <c r="O30" s="125"/>
      <c r="P30" s="124">
        <v>5428</v>
      </c>
      <c r="Q30" s="125"/>
      <c r="R30" s="124">
        <f t="shared" si="0"/>
        <v>47155</v>
      </c>
      <c r="S30" s="124"/>
      <c r="T30" s="3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17.649999999999999" customHeight="1" x14ac:dyDescent="0.3">
      <c r="A31" s="158">
        <v>2005</v>
      </c>
      <c r="B31" s="124">
        <v>207</v>
      </c>
      <c r="C31" s="124"/>
      <c r="D31" s="124">
        <f>SUM(PAGE_3!L31,PAGE_3!N31,PAGE_3!Q31,,PAGE_3!S31,PAGE_3!U31,B31)</f>
        <v>13026</v>
      </c>
      <c r="E31" s="124"/>
      <c r="F31" s="130"/>
      <c r="G31" s="130"/>
      <c r="H31" s="124">
        <v>27463</v>
      </c>
      <c r="I31" s="124"/>
      <c r="J31" s="124">
        <v>2279</v>
      </c>
      <c r="K31" s="125"/>
      <c r="L31" s="128">
        <v>0</v>
      </c>
      <c r="M31" s="125"/>
      <c r="N31" s="124">
        <v>3892</v>
      </c>
      <c r="O31" s="125"/>
      <c r="P31" s="124">
        <v>6848</v>
      </c>
      <c r="Q31" s="125"/>
      <c r="R31" s="124">
        <f t="shared" si="0"/>
        <v>40482</v>
      </c>
      <c r="S31" s="124"/>
      <c r="T31" s="3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17.649999999999999" customHeight="1" x14ac:dyDescent="0.3">
      <c r="A32" s="158">
        <v>2006</v>
      </c>
      <c r="B32" s="124">
        <v>223</v>
      </c>
      <c r="C32" s="124"/>
      <c r="D32" s="124">
        <f>SUM(PAGE_3!L32,PAGE_3!N32,PAGE_3!Q32,,PAGE_3!S32,PAGE_3!U32,B32)</f>
        <v>7653</v>
      </c>
      <c r="E32" s="124"/>
      <c r="F32" s="130"/>
      <c r="G32" s="130"/>
      <c r="H32" s="124">
        <v>36874</v>
      </c>
      <c r="I32" s="124"/>
      <c r="J32" s="124">
        <v>4035</v>
      </c>
      <c r="K32" s="124"/>
      <c r="L32" s="128">
        <v>0</v>
      </c>
      <c r="M32" s="125"/>
      <c r="N32" s="124">
        <v>5087</v>
      </c>
      <c r="O32" s="124"/>
      <c r="P32" s="124">
        <v>7140</v>
      </c>
      <c r="Q32" s="125"/>
      <c r="R32" s="124">
        <f t="shared" si="0"/>
        <v>53136</v>
      </c>
      <c r="S32" s="124"/>
      <c r="T32" s="3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17.649999999999999" customHeight="1" x14ac:dyDescent="0.3">
      <c r="A33" s="158">
        <v>2007</v>
      </c>
      <c r="B33" s="124">
        <v>158</v>
      </c>
      <c r="C33" s="124"/>
      <c r="D33" s="124">
        <f>SUM(PAGE_3!L33,PAGE_3!N33,PAGE_3!Q33,,PAGE_3!S33,PAGE_3!U33,B33)</f>
        <v>7529</v>
      </c>
      <c r="E33" s="124"/>
      <c r="F33" s="130"/>
      <c r="G33" s="130"/>
      <c r="H33" s="124">
        <v>31313</v>
      </c>
      <c r="I33" s="124"/>
      <c r="J33" s="124">
        <v>6132</v>
      </c>
      <c r="K33" s="124"/>
      <c r="L33" s="128">
        <v>0</v>
      </c>
      <c r="M33" s="125"/>
      <c r="N33" s="124">
        <v>4359</v>
      </c>
      <c r="O33" s="125"/>
      <c r="P33" s="124">
        <v>7186</v>
      </c>
      <c r="Q33" s="124"/>
      <c r="R33" s="124">
        <f t="shared" si="0"/>
        <v>48990</v>
      </c>
      <c r="S33" s="124"/>
      <c r="T33" s="3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17.649999999999999" customHeight="1" x14ac:dyDescent="0.3">
      <c r="A34" s="156" t="s">
        <v>28</v>
      </c>
      <c r="B34" s="124">
        <v>150</v>
      </c>
      <c r="C34" s="124"/>
      <c r="D34" s="124">
        <f>SUM(PAGE_3!L34,PAGE_3!N34,PAGE_3!Q34,,PAGE_3!S34,PAGE_3!U34,B34)</f>
        <v>8259</v>
      </c>
      <c r="E34" s="124"/>
      <c r="F34" s="130"/>
      <c r="G34" s="130"/>
      <c r="H34" s="124">
        <v>32776</v>
      </c>
      <c r="I34" s="124"/>
      <c r="J34" s="124">
        <v>4106</v>
      </c>
      <c r="K34" s="124"/>
      <c r="L34" s="128">
        <v>0</v>
      </c>
      <c r="M34" s="125"/>
      <c r="N34" s="124">
        <v>9833</v>
      </c>
      <c r="O34" s="125"/>
      <c r="P34" s="124">
        <v>7246</v>
      </c>
      <c r="Q34" s="124"/>
      <c r="R34" s="124">
        <f t="shared" si="0"/>
        <v>53961</v>
      </c>
      <c r="S34" s="124"/>
      <c r="T34" s="3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</row>
    <row r="35" spans="1:207" ht="17.649999999999999" customHeight="1" x14ac:dyDescent="0.3">
      <c r="A35" s="156" t="s">
        <v>29</v>
      </c>
      <c r="B35" s="124">
        <v>79</v>
      </c>
      <c r="C35" s="124"/>
      <c r="D35" s="124">
        <f>SUM(PAGE_3!L35,PAGE_3!N35,PAGE_3!Q35,,PAGE_3!S35,PAGE_3!U35,B35)</f>
        <v>9982</v>
      </c>
      <c r="E35" s="124"/>
      <c r="F35" s="130"/>
      <c r="G35" s="130"/>
      <c r="H35" s="124">
        <v>25385</v>
      </c>
      <c r="I35" s="124"/>
      <c r="J35" s="124">
        <v>4962</v>
      </c>
      <c r="K35" s="124"/>
      <c r="L35" s="128">
        <v>0</v>
      </c>
      <c r="M35" s="125"/>
      <c r="N35" s="124">
        <v>2044</v>
      </c>
      <c r="O35" s="125"/>
      <c r="P35" s="124">
        <v>5634</v>
      </c>
      <c r="Q35" s="124"/>
      <c r="R35" s="124">
        <f t="shared" si="0"/>
        <v>38025</v>
      </c>
      <c r="S35" s="124"/>
      <c r="T35" s="3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</row>
    <row r="36" spans="1:207" ht="17.649999999999999" customHeight="1" x14ac:dyDescent="0.3">
      <c r="A36" s="159" t="s">
        <v>30</v>
      </c>
      <c r="B36" s="124">
        <v>103</v>
      </c>
      <c r="C36" s="124"/>
      <c r="D36" s="124">
        <f>SUM(PAGE_3!L36,PAGE_3!N36,PAGE_3!Q36,,PAGE_3!S36,PAGE_3!U36,B36)</f>
        <v>8613</v>
      </c>
      <c r="E36" s="124"/>
      <c r="F36" s="130"/>
      <c r="G36" s="130"/>
      <c r="H36" s="124">
        <v>29953</v>
      </c>
      <c r="I36" s="124"/>
      <c r="J36" s="124">
        <v>4894</v>
      </c>
      <c r="K36" s="124"/>
      <c r="L36" s="128">
        <v>0</v>
      </c>
      <c r="M36" s="125"/>
      <c r="N36" s="124">
        <v>3529</v>
      </c>
      <c r="O36" s="125"/>
      <c r="P36" s="124">
        <v>1232</v>
      </c>
      <c r="Q36" s="124"/>
      <c r="R36" s="124">
        <f t="shared" si="0"/>
        <v>39608</v>
      </c>
      <c r="S36" s="124"/>
      <c r="T36" s="3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</row>
    <row r="37" spans="1:207" ht="17.649999999999999" customHeight="1" x14ac:dyDescent="0.3">
      <c r="A37" s="159" t="s">
        <v>31</v>
      </c>
      <c r="B37" s="124">
        <v>86</v>
      </c>
      <c r="C37" s="124"/>
      <c r="D37" s="124">
        <f>SUM(PAGE_3!L37,PAGE_3!N37,PAGE_3!Q37,,PAGE_3!S37,PAGE_3!U37,B37)</f>
        <v>6323</v>
      </c>
      <c r="E37" s="124"/>
      <c r="F37" s="130"/>
      <c r="G37" s="130"/>
      <c r="H37" s="124">
        <v>28961</v>
      </c>
      <c r="I37" s="124"/>
      <c r="J37" s="124">
        <v>1654</v>
      </c>
      <c r="K37" s="124"/>
      <c r="L37" s="128">
        <v>0</v>
      </c>
      <c r="M37" s="125"/>
      <c r="N37" s="124">
        <v>1284</v>
      </c>
      <c r="O37" s="125"/>
      <c r="P37" s="124">
        <v>556</v>
      </c>
      <c r="Q37" s="124"/>
      <c r="R37" s="124">
        <f t="shared" si="0"/>
        <v>32455</v>
      </c>
      <c r="S37" s="124"/>
      <c r="T37" s="3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</row>
    <row r="38" spans="1:207" ht="17.649999999999999" customHeight="1" x14ac:dyDescent="0.3">
      <c r="A38" s="159" t="s">
        <v>32</v>
      </c>
      <c r="B38" s="124">
        <v>104</v>
      </c>
      <c r="C38" s="124"/>
      <c r="D38" s="124">
        <f>SUM(PAGE_3!L38,PAGE_3!N38,PAGE_3!Q38,,PAGE_3!S38,PAGE_3!U38,B38)</f>
        <v>12169</v>
      </c>
      <c r="E38" s="124"/>
      <c r="F38" s="130"/>
      <c r="G38" s="130"/>
      <c r="H38" s="124">
        <v>33290</v>
      </c>
      <c r="I38" s="124"/>
      <c r="J38" s="124">
        <v>5799</v>
      </c>
      <c r="K38" s="124"/>
      <c r="L38" s="124">
        <v>85</v>
      </c>
      <c r="M38" s="125"/>
      <c r="N38" s="124">
        <v>1200</v>
      </c>
      <c r="O38" s="125"/>
      <c r="P38" s="124">
        <v>2815</v>
      </c>
      <c r="Q38" s="124"/>
      <c r="R38" s="124">
        <f t="shared" si="0"/>
        <v>43189</v>
      </c>
      <c r="S38" s="124"/>
      <c r="T38" s="3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</row>
    <row r="39" spans="1:207" ht="17.649999999999999" customHeight="1" x14ac:dyDescent="0.3">
      <c r="A39" s="159" t="s">
        <v>33</v>
      </c>
      <c r="B39" s="124">
        <v>88</v>
      </c>
      <c r="C39" s="124"/>
      <c r="D39" s="124">
        <f>SUM(PAGE_3!L39,PAGE_3!N39,PAGE_3!Q39,,PAGE_3!S39,PAGE_3!U39,B39)</f>
        <v>10531</v>
      </c>
      <c r="E39" s="124"/>
      <c r="F39" s="130"/>
      <c r="G39" s="130"/>
      <c r="H39" s="124">
        <v>31486</v>
      </c>
      <c r="I39" s="124"/>
      <c r="J39" s="124">
        <v>3080</v>
      </c>
      <c r="K39" s="124"/>
      <c r="L39" s="128">
        <v>0</v>
      </c>
      <c r="M39" s="125"/>
      <c r="N39" s="124">
        <v>1200</v>
      </c>
      <c r="O39" s="125"/>
      <c r="P39" s="124">
        <v>749</v>
      </c>
      <c r="Q39" s="124"/>
      <c r="R39" s="124">
        <f t="shared" si="0"/>
        <v>36515</v>
      </c>
      <c r="S39" s="124"/>
      <c r="T39" s="3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</row>
    <row r="40" spans="1:207" ht="17.649999999999999" customHeight="1" x14ac:dyDescent="0.3">
      <c r="A40" s="156" t="s">
        <v>34</v>
      </c>
      <c r="B40" s="124">
        <v>18</v>
      </c>
      <c r="C40" s="124"/>
      <c r="D40" s="124">
        <f>SUM(PAGE_3!L40,PAGE_3!N40,PAGE_3!Q40,,PAGE_3!S40,PAGE_3!U40,B40)</f>
        <v>7800</v>
      </c>
      <c r="E40" s="124"/>
      <c r="F40" s="130"/>
      <c r="G40" s="130"/>
      <c r="H40" s="124">
        <v>15640</v>
      </c>
      <c r="I40" s="124"/>
      <c r="J40" s="124">
        <v>2978</v>
      </c>
      <c r="K40" s="124"/>
      <c r="L40" s="128">
        <v>0</v>
      </c>
      <c r="M40" s="124"/>
      <c r="N40" s="124">
        <v>1189</v>
      </c>
      <c r="O40" s="125"/>
      <c r="P40" s="124">
        <v>2623</v>
      </c>
      <c r="Q40" s="124"/>
      <c r="R40" s="124">
        <f t="shared" si="0"/>
        <v>22430</v>
      </c>
      <c r="S40" s="124"/>
      <c r="T40" s="3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</row>
    <row r="41" spans="1:207" ht="17.649999999999999" customHeight="1" x14ac:dyDescent="0.3">
      <c r="A41" s="159" t="s">
        <v>35</v>
      </c>
      <c r="B41" s="124">
        <v>105</v>
      </c>
      <c r="C41" s="124"/>
      <c r="D41" s="124">
        <f>SUM(PAGE_3!L41,PAGE_3!N41,PAGE_3!Q41,,PAGE_3!S41,PAGE_3!U41,B41)</f>
        <v>3913</v>
      </c>
      <c r="E41" s="124"/>
      <c r="F41" s="130"/>
      <c r="G41" s="130"/>
      <c r="H41" s="128">
        <v>0</v>
      </c>
      <c r="I41" s="124"/>
      <c r="J41" s="124">
        <v>567</v>
      </c>
      <c r="K41" s="124"/>
      <c r="L41" s="128">
        <v>0</v>
      </c>
      <c r="M41" s="124"/>
      <c r="N41" s="124">
        <v>550</v>
      </c>
      <c r="O41" s="125"/>
      <c r="P41" s="128">
        <v>0</v>
      </c>
      <c r="Q41" s="124"/>
      <c r="R41" s="124">
        <f t="shared" si="0"/>
        <v>1117</v>
      </c>
      <c r="S41" s="124"/>
      <c r="T41" s="9"/>
    </row>
    <row r="42" spans="1:207" ht="17.649999999999999" customHeight="1" x14ac:dyDescent="0.3">
      <c r="A42" s="156" t="s">
        <v>36</v>
      </c>
      <c r="B42" s="124">
        <v>36</v>
      </c>
      <c r="C42" s="124"/>
      <c r="D42" s="124">
        <f>SUM(PAGE_3!L42,PAGE_3!N42,PAGE_3!Q42,,PAGE_3!S42,PAGE_3!U42,B42)</f>
        <v>4782</v>
      </c>
      <c r="E42" s="124"/>
      <c r="F42" s="124"/>
      <c r="G42" s="130"/>
      <c r="H42" s="124">
        <v>25010</v>
      </c>
      <c r="I42" s="124"/>
      <c r="J42" s="124">
        <v>4872</v>
      </c>
      <c r="K42" s="124"/>
      <c r="L42" s="128">
        <f>[2]ActualDeliveries!F$55</f>
        <v>0</v>
      </c>
      <c r="M42" s="124"/>
      <c r="N42" s="124">
        <v>9284</v>
      </c>
      <c r="O42" s="125"/>
      <c r="P42" s="124">
        <v>1230</v>
      </c>
      <c r="Q42" s="124"/>
      <c r="R42" s="124">
        <f t="shared" si="0"/>
        <v>40396</v>
      </c>
      <c r="S42" s="124"/>
      <c r="T42" s="9"/>
    </row>
    <row r="43" spans="1:207" ht="17.649999999999999" customHeight="1" x14ac:dyDescent="0.3">
      <c r="A43" s="156" t="s">
        <v>37</v>
      </c>
      <c r="B43" s="124">
        <v>63</v>
      </c>
      <c r="C43" s="124"/>
      <c r="D43" s="124">
        <f>SUM(PAGE_3!L43,PAGE_3!N43,PAGE_3!Q43,,PAGE_3!S43,PAGE_3!U43,B43)</f>
        <v>5824</v>
      </c>
      <c r="E43" s="124"/>
      <c r="F43" s="124">
        <v>3230</v>
      </c>
      <c r="G43" s="130"/>
      <c r="H43" s="124">
        <v>27663</v>
      </c>
      <c r="I43" s="124"/>
      <c r="J43" s="124">
        <v>6116</v>
      </c>
      <c r="K43" s="124"/>
      <c r="L43" s="128">
        <v>0</v>
      </c>
      <c r="M43" s="124"/>
      <c r="N43" s="124">
        <v>10178</v>
      </c>
      <c r="O43" s="125"/>
      <c r="P43" s="124">
        <v>0</v>
      </c>
      <c r="Q43" s="124"/>
      <c r="R43" s="124">
        <f t="shared" si="0"/>
        <v>47187</v>
      </c>
      <c r="S43" s="124"/>
      <c r="T43" s="9"/>
    </row>
    <row r="44" spans="1:207" ht="17.649999999999999" customHeight="1" x14ac:dyDescent="0.3">
      <c r="A44" s="156" t="s">
        <v>38</v>
      </c>
      <c r="B44" s="124">
        <v>11</v>
      </c>
      <c r="C44" s="124"/>
      <c r="D44" s="124">
        <f>SUM(PAGE_3!L44,PAGE_3!N44,PAGE_3!Q44,,PAGE_3!S44,PAGE_3!U44,B44)</f>
        <v>17123</v>
      </c>
      <c r="E44" s="124"/>
      <c r="F44" s="124">
        <v>4073</v>
      </c>
      <c r="G44" s="130"/>
      <c r="H44" s="124">
        <v>28383</v>
      </c>
      <c r="I44" s="124"/>
      <c r="J44" s="124">
        <v>6068</v>
      </c>
      <c r="K44" s="124"/>
      <c r="L44" s="128">
        <v>0</v>
      </c>
      <c r="M44" s="124"/>
      <c r="N44" s="124">
        <v>2224</v>
      </c>
      <c r="O44" s="125"/>
      <c r="P44" s="124">
        <v>0</v>
      </c>
      <c r="Q44" s="124"/>
      <c r="R44" s="124">
        <f t="shared" si="0"/>
        <v>40748</v>
      </c>
      <c r="S44" s="124"/>
      <c r="T44" s="9"/>
    </row>
    <row r="45" spans="1:207" ht="17.649999999999999" customHeight="1" x14ac:dyDescent="0.3">
      <c r="A45" s="156" t="s">
        <v>39</v>
      </c>
      <c r="B45" s="124">
        <v>2</v>
      </c>
      <c r="C45" s="124"/>
      <c r="D45" s="124">
        <f>SUM(PAGE_3!L45,PAGE_3!N45,PAGE_3!Q45,,PAGE_3!S45,PAGE_3!U45,B45)</f>
        <v>12079</v>
      </c>
      <c r="E45" s="124"/>
      <c r="F45" s="124">
        <v>4137</v>
      </c>
      <c r="G45" s="124"/>
      <c r="H45" s="124">
        <v>29921</v>
      </c>
      <c r="I45" s="124"/>
      <c r="J45" s="124">
        <v>6457</v>
      </c>
      <c r="K45" s="124"/>
      <c r="L45" s="128">
        <v>0</v>
      </c>
      <c r="M45" s="124"/>
      <c r="N45" s="124">
        <v>0</v>
      </c>
      <c r="O45" s="125"/>
      <c r="P45" s="124">
        <v>0</v>
      </c>
      <c r="Q45" s="124"/>
      <c r="R45" s="124">
        <f t="shared" si="0"/>
        <v>40515</v>
      </c>
      <c r="S45" s="124"/>
      <c r="T45" s="9"/>
    </row>
    <row r="46" spans="1:207" ht="17.649999999999999" customHeight="1" x14ac:dyDescent="0.3">
      <c r="A46" s="156" t="s">
        <v>40</v>
      </c>
      <c r="B46" s="124">
        <v>4</v>
      </c>
      <c r="C46" s="124"/>
      <c r="D46" s="124">
        <f>SUM(PAGE_3!L46,PAGE_3!N46,PAGE_3!Q46,,PAGE_3!S46,PAGE_3!U46,B46)</f>
        <v>7767</v>
      </c>
      <c r="E46" s="124"/>
      <c r="F46" s="124">
        <v>2990</v>
      </c>
      <c r="G46" s="124"/>
      <c r="H46" s="124">
        <v>30499</v>
      </c>
      <c r="I46" s="124"/>
      <c r="J46" s="124">
        <v>3311</v>
      </c>
      <c r="K46" s="124"/>
      <c r="L46" s="128">
        <v>0</v>
      </c>
      <c r="M46" s="124"/>
      <c r="N46" s="124">
        <v>1600</v>
      </c>
      <c r="O46" s="125"/>
      <c r="P46" s="124">
        <v>0</v>
      </c>
      <c r="Q46" s="124"/>
      <c r="R46" s="124">
        <f t="shared" si="0"/>
        <v>38400</v>
      </c>
      <c r="S46" s="124"/>
      <c r="T46" s="9"/>
    </row>
    <row r="47" spans="1:207" ht="17.649999999999999" customHeight="1" x14ac:dyDescent="0.3">
      <c r="A47" s="156" t="s">
        <v>41</v>
      </c>
      <c r="B47" s="124">
        <v>3</v>
      </c>
      <c r="C47" s="124"/>
      <c r="D47" s="124">
        <f>SUM(PAGE_3!L47,PAGE_3!N47,PAGE_3!Q47,,PAGE_3!S47,PAGE_3!U47,B47)</f>
        <v>3843</v>
      </c>
      <c r="E47" s="124"/>
      <c r="F47" s="124">
        <f>[2]ActualDeliveries!F$52</f>
        <v>2100</v>
      </c>
      <c r="G47" s="124"/>
      <c r="H47" s="124">
        <f>[2]ActualDeliveries!F$53</f>
        <v>13410</v>
      </c>
      <c r="I47" s="124"/>
      <c r="J47" s="124">
        <f>[2]ActualDeliveries!F$54</f>
        <v>0</v>
      </c>
      <c r="K47" s="124"/>
      <c r="L47" s="160">
        <f>[2]ActualDeliveries!F$55</f>
        <v>0</v>
      </c>
      <c r="M47" s="124"/>
      <c r="N47" s="124">
        <f>+[2]ActualDeliveries!F$56</f>
        <v>1369</v>
      </c>
      <c r="O47" s="125"/>
      <c r="P47" s="124">
        <f>[2]ActualDeliveries!F$57</f>
        <v>0</v>
      </c>
      <c r="Q47" s="124"/>
      <c r="R47" s="124">
        <f t="shared" si="0"/>
        <v>16879</v>
      </c>
      <c r="S47" s="124"/>
      <c r="T47" s="9"/>
    </row>
    <row r="48" spans="1:207" ht="17.649999999999999" customHeight="1" x14ac:dyDescent="0.3">
      <c r="A48" s="156" t="s">
        <v>42</v>
      </c>
      <c r="B48" s="124">
        <f t="shared" ref="B48:B56" si="1">+B$58</f>
        <v>32</v>
      </c>
      <c r="C48" s="124"/>
      <c r="D48" s="124">
        <f>SUM(PAGE_3!L48,PAGE_3!N48,PAGE_3!Q48,,PAGE_3!S48,PAGE_3!U48,B48)</f>
        <v>7904.4285714285716</v>
      </c>
      <c r="E48" s="124"/>
      <c r="F48" s="124">
        <f t="shared" ref="F48:F56" si="2">F$58</f>
        <v>3306</v>
      </c>
      <c r="G48" s="124"/>
      <c r="H48" s="124">
        <f t="shared" ref="H48:H56" si="3">+H$58</f>
        <v>22126.571428571428</v>
      </c>
      <c r="I48" s="124"/>
      <c r="J48" s="124">
        <f t="shared" ref="J48:J56" si="4">J$58</f>
        <v>3913</v>
      </c>
      <c r="K48" s="124"/>
      <c r="L48" s="160">
        <v>0</v>
      </c>
      <c r="M48" s="124"/>
      <c r="N48" s="124">
        <f t="shared" ref="N48:N56" si="5">+N$58</f>
        <v>3600.7142857142858</v>
      </c>
      <c r="O48" s="125"/>
      <c r="P48" s="124">
        <f t="shared" ref="P48:P56" si="6">+P$58</f>
        <v>175.71428571428572</v>
      </c>
      <c r="Q48" s="124"/>
      <c r="R48" s="124">
        <f t="shared" si="0"/>
        <v>33121.999999999993</v>
      </c>
      <c r="S48" s="124"/>
      <c r="T48" s="9"/>
    </row>
    <row r="49" spans="1:227" ht="17.649999999999999" customHeight="1" x14ac:dyDescent="0.3">
      <c r="A49" s="156" t="s">
        <v>43</v>
      </c>
      <c r="B49" s="124">
        <f t="shared" si="1"/>
        <v>32</v>
      </c>
      <c r="C49" s="124">
        <f>ROUND(B49*[2]Manual_Input!K55,6)</f>
        <v>31.257491000000002</v>
      </c>
      <c r="D49" s="124">
        <f>SUM(PAGE_3!L49,PAGE_3!N49,PAGE_3!Q49,,PAGE_3!S49,PAGE_3!U49,B49)</f>
        <v>7904.4285714285716</v>
      </c>
      <c r="E49" s="124">
        <f>SUM(PAGE_3!M49,PAGE_3!P49,PAGE_3!R49,PAGE_3!T49,PAGE_3!V49,C49)</f>
        <v>7721.018795</v>
      </c>
      <c r="F49" s="124">
        <f t="shared" si="2"/>
        <v>3306</v>
      </c>
      <c r="G49" s="124">
        <f>ROUND(F49*[2]Manual_Input!K55,6)</f>
        <v>3229.2894940000001</v>
      </c>
      <c r="H49" s="124">
        <f t="shared" si="3"/>
        <v>22126.571428571428</v>
      </c>
      <c r="I49" s="124">
        <f>ROUND(H49*[2]Manual_Input!K55,6)</f>
        <v>21613.159298999999</v>
      </c>
      <c r="J49" s="124">
        <f t="shared" si="4"/>
        <v>3913</v>
      </c>
      <c r="K49" s="124">
        <f>ROUND(J49*[2]Manual_Input!K55,6)</f>
        <v>3822.2050180000001</v>
      </c>
      <c r="L49" s="160">
        <v>0</v>
      </c>
      <c r="M49" s="124">
        <f>L49*[2]Manual_Input!K55</f>
        <v>0</v>
      </c>
      <c r="N49" s="124">
        <f t="shared" si="5"/>
        <v>3600.7142857142858</v>
      </c>
      <c r="O49" s="125">
        <f>ROUND(N49*[2]Manual_Input!K55,6)</f>
        <v>3517.1653999999999</v>
      </c>
      <c r="P49" s="124">
        <f t="shared" si="6"/>
        <v>175.71428571428572</v>
      </c>
      <c r="Q49" s="124">
        <f>ROUND(P49*[2]Manual_Input!K55,6)</f>
        <v>171.637113</v>
      </c>
      <c r="R49" s="124">
        <f t="shared" si="0"/>
        <v>33121.999999999993</v>
      </c>
      <c r="S49" s="124">
        <f t="shared" si="0"/>
        <v>32353.456324000002</v>
      </c>
      <c r="T49" s="9"/>
    </row>
    <row r="50" spans="1:227" ht="17.649999999999999" customHeight="1" x14ac:dyDescent="0.3">
      <c r="A50" s="156" t="s">
        <v>44</v>
      </c>
      <c r="B50" s="124">
        <f t="shared" si="1"/>
        <v>32</v>
      </c>
      <c r="C50" s="124">
        <f>ROUND(B50*[2]Manual_Input!K56,6)</f>
        <v>30.532209999999999</v>
      </c>
      <c r="D50" s="124">
        <f>SUM(PAGE_3!L50,PAGE_3!N50,PAGE_3!Q50,,PAGE_3!S50,PAGE_3!U50,B50)</f>
        <v>7904.4285714285716</v>
      </c>
      <c r="E50" s="124">
        <f>SUM(PAGE_3!M50,PAGE_3!P50,PAGE_3!R50,PAGE_3!T50,PAGE_3!V50,C50)</f>
        <v>7541.8647549999996</v>
      </c>
      <c r="F50" s="124">
        <f t="shared" si="2"/>
        <v>3306</v>
      </c>
      <c r="G50" s="124">
        <f>ROUND(F50*[2]Manual_Input!K56,6)</f>
        <v>3154.358933</v>
      </c>
      <c r="H50" s="124">
        <f t="shared" si="3"/>
        <v>22126.571428571428</v>
      </c>
      <c r="I50" s="124">
        <f>ROUND(H50*[2]Manual_Input!K56,6)</f>
        <v>21111.660087</v>
      </c>
      <c r="J50" s="124">
        <f t="shared" si="4"/>
        <v>3913</v>
      </c>
      <c r="K50" s="124">
        <f>ROUND(J50*[2]Manual_Input!K56,6)</f>
        <v>3733.5167889999998</v>
      </c>
      <c r="L50" s="160">
        <v>0</v>
      </c>
      <c r="M50" s="124">
        <f>L50*[2]Manual_Input!K56</f>
        <v>0</v>
      </c>
      <c r="N50" s="124">
        <f t="shared" si="5"/>
        <v>3600.7142857142858</v>
      </c>
      <c r="O50" s="125">
        <f>ROUND(N50*[2]Manual_Input!K56,6)</f>
        <v>3435.5551340000002</v>
      </c>
      <c r="P50" s="124">
        <f t="shared" si="6"/>
        <v>175.71428571428572</v>
      </c>
      <c r="Q50" s="124">
        <f>ROUND(P50*[2]Manual_Input!K56,6)</f>
        <v>167.65454500000001</v>
      </c>
      <c r="R50" s="124">
        <f t="shared" ref="R50:S56" si="7">+F50+H50+J50+N50+P50+L50</f>
        <v>33121.999999999993</v>
      </c>
      <c r="S50" s="124">
        <f t="shared" si="7"/>
        <v>31602.745488000004</v>
      </c>
      <c r="T50" s="9"/>
    </row>
    <row r="51" spans="1:227" ht="17.649999999999999" customHeight="1" x14ac:dyDescent="0.3">
      <c r="A51" s="156" t="s">
        <v>45</v>
      </c>
      <c r="B51" s="124">
        <f t="shared" si="1"/>
        <v>32</v>
      </c>
      <c r="C51" s="124">
        <f>ROUND(B51*[2]Manual_Input!K57,6)</f>
        <v>29.823758000000002</v>
      </c>
      <c r="D51" s="124">
        <f>SUM(PAGE_3!L51,PAGE_3!N51,PAGE_3!Q51,,PAGE_3!S51,PAGE_3!U51,B51)</f>
        <v>7904.4285714285716</v>
      </c>
      <c r="E51" s="124">
        <f>SUM(PAGE_3!M51,PAGE_3!P51,PAGE_3!R51,PAGE_3!T51,PAGE_3!V51,C51)</f>
        <v>7366.8676999999998</v>
      </c>
      <c r="F51" s="124">
        <f t="shared" si="2"/>
        <v>3306</v>
      </c>
      <c r="G51" s="124">
        <f>ROUND(F51*[2]Manual_Input!K57,6)</f>
        <v>3081.1670180000001</v>
      </c>
      <c r="H51" s="124">
        <f t="shared" si="3"/>
        <v>22126.571428571428</v>
      </c>
      <c r="I51" s="124">
        <f>ROUND(H51*[2]Manual_Input!K57,6)</f>
        <v>20621.797372000001</v>
      </c>
      <c r="J51" s="124">
        <f t="shared" si="4"/>
        <v>3913</v>
      </c>
      <c r="K51" s="124">
        <f>ROUND(J51*[2]Manual_Input!K57,6)</f>
        <v>3646.8864309999999</v>
      </c>
      <c r="L51" s="160">
        <f t="shared" ref="L51:L56" si="8">+L$58</f>
        <v>5000</v>
      </c>
      <c r="M51" s="124">
        <f>L51*[2]Manual_Input!K57</f>
        <v>4659.9622175947179</v>
      </c>
      <c r="N51" s="124">
        <f t="shared" si="5"/>
        <v>3600.7142857142858</v>
      </c>
      <c r="O51" s="125">
        <f>ROUND(N51*[2]Manual_Input!K57,6)</f>
        <v>3355.8385060000001</v>
      </c>
      <c r="P51" s="124">
        <f t="shared" si="6"/>
        <v>175.71428571428572</v>
      </c>
      <c r="Q51" s="124">
        <f>ROUND(P51*[2]Manual_Input!K57,6)</f>
        <v>163.764387</v>
      </c>
      <c r="R51" s="124">
        <f t="shared" si="7"/>
        <v>38121.999999999993</v>
      </c>
      <c r="S51" s="124">
        <f t="shared" si="7"/>
        <v>35529.415931594718</v>
      </c>
      <c r="T51" s="9"/>
    </row>
    <row r="52" spans="1:227" ht="17.649999999999999" customHeight="1" x14ac:dyDescent="0.3">
      <c r="A52" s="156" t="s">
        <v>46</v>
      </c>
      <c r="B52" s="124">
        <f t="shared" si="1"/>
        <v>32</v>
      </c>
      <c r="C52" s="124">
        <f>ROUND(B52*[2]Manual_Input!K58,6)</f>
        <v>29.131744999999999</v>
      </c>
      <c r="D52" s="124">
        <f>SUM(PAGE_3!L52,PAGE_3!N52,PAGE_3!Q52,,PAGE_3!S52,PAGE_3!U52,B52)</f>
        <v>7904.4285714285716</v>
      </c>
      <c r="E52" s="124">
        <f>SUM(PAGE_3!M52,PAGE_3!P52,PAGE_3!R52,PAGE_3!T52,PAGE_3!V52,C52)</f>
        <v>7195.9311740000003</v>
      </c>
      <c r="F52" s="124">
        <f t="shared" si="2"/>
        <v>3306</v>
      </c>
      <c r="G52" s="124">
        <f>ROUND(F52*[2]Manual_Input!K58,6)</f>
        <v>3009.6734059999999</v>
      </c>
      <c r="H52" s="124">
        <f t="shared" si="3"/>
        <v>22126.571428571428</v>
      </c>
      <c r="I52" s="124">
        <f>ROUND(H52*[2]Manual_Input!K58,6)</f>
        <v>20143.301147999999</v>
      </c>
      <c r="J52" s="124">
        <f t="shared" si="4"/>
        <v>3913</v>
      </c>
      <c r="K52" s="124">
        <f>ROUND(J52*[2]Manual_Input!K58,6)</f>
        <v>3562.2661939999998</v>
      </c>
      <c r="L52" s="160">
        <f t="shared" si="8"/>
        <v>5000</v>
      </c>
      <c r="M52" s="124">
        <f>L52*[2]Manual_Input!K58</f>
        <v>4551.8351572564616</v>
      </c>
      <c r="N52" s="124">
        <f t="shared" si="5"/>
        <v>3600.7142857142858</v>
      </c>
      <c r="O52" s="125">
        <f>ROUND(N52*[2]Manual_Input!K58,6)</f>
        <v>3277.971575</v>
      </c>
      <c r="P52" s="124">
        <f t="shared" si="6"/>
        <v>175.71428571428572</v>
      </c>
      <c r="Q52" s="124">
        <f>ROUND(P52*[2]Manual_Input!K58,6)</f>
        <v>159.964493</v>
      </c>
      <c r="R52" s="124">
        <f t="shared" si="7"/>
        <v>38121.999999999993</v>
      </c>
      <c r="S52" s="124">
        <f t="shared" si="7"/>
        <v>34705.011973256464</v>
      </c>
      <c r="T52" s="9"/>
    </row>
    <row r="53" spans="1:227" ht="17.649999999999999" customHeight="1" x14ac:dyDescent="0.3">
      <c r="A53" s="156" t="s">
        <v>47</v>
      </c>
      <c r="B53" s="124">
        <f t="shared" si="1"/>
        <v>32</v>
      </c>
      <c r="C53" s="124">
        <f>ROUND(B53*[2]Manual_Input!K59,6)</f>
        <v>28.455788999999999</v>
      </c>
      <c r="D53" s="124">
        <f>SUM(PAGE_3!L53,PAGE_3!N53,PAGE_3!Q53,,PAGE_3!S53,PAGE_3!U53,B53)</f>
        <v>7904.4285714285716</v>
      </c>
      <c r="E53" s="124">
        <f>SUM(PAGE_3!M53,PAGE_3!P53,PAGE_3!R53,PAGE_3!T53,PAGE_3!V53,C53)</f>
        <v>7028.9609620000001</v>
      </c>
      <c r="F53" s="124">
        <f t="shared" si="2"/>
        <v>3306</v>
      </c>
      <c r="G53" s="124">
        <f>ROUND(F53*[2]Manual_Input!K59,6)</f>
        <v>2939.83869</v>
      </c>
      <c r="H53" s="124">
        <f t="shared" si="3"/>
        <v>22126.571428571428</v>
      </c>
      <c r="I53" s="124">
        <f>ROUND(H53*[2]Manual_Input!K59,6)</f>
        <v>19675.907672000001</v>
      </c>
      <c r="J53" s="124">
        <f t="shared" si="4"/>
        <v>3913</v>
      </c>
      <c r="K53" s="124">
        <f>ROUND(J53*[2]Manual_Input!K59,6)</f>
        <v>3479.6094360000002</v>
      </c>
      <c r="L53" s="160">
        <f t="shared" si="8"/>
        <v>5000</v>
      </c>
      <c r="M53" s="124">
        <f>L53*[2]Manual_Input!K59</f>
        <v>4446.2170145084056</v>
      </c>
      <c r="N53" s="124">
        <f t="shared" si="5"/>
        <v>3600.7142857142858</v>
      </c>
      <c r="O53" s="125">
        <f>ROUND(N53*[2]Manual_Input!K59,6)</f>
        <v>3201.9114239999999</v>
      </c>
      <c r="P53" s="124">
        <f t="shared" si="6"/>
        <v>175.71428571428572</v>
      </c>
      <c r="Q53" s="124">
        <f>ROUND(P53*[2]Manual_Input!K59,6)</f>
        <v>156.252769</v>
      </c>
      <c r="R53" s="124">
        <f t="shared" si="7"/>
        <v>38121.999999999993</v>
      </c>
      <c r="S53" s="124">
        <f t="shared" si="7"/>
        <v>33899.737005508403</v>
      </c>
      <c r="T53" s="9"/>
    </row>
    <row r="54" spans="1:227" ht="17.649999999999999" customHeight="1" x14ac:dyDescent="0.3">
      <c r="A54" s="156" t="s">
        <v>48</v>
      </c>
      <c r="B54" s="124">
        <f t="shared" si="1"/>
        <v>32</v>
      </c>
      <c r="C54" s="124">
        <f>ROUND(B54*[2]Manual_Input!K60,6)</f>
        <v>27.795517</v>
      </c>
      <c r="D54" s="124">
        <f>SUM(PAGE_3!L54,PAGE_3!N54,PAGE_3!Q54,,PAGE_3!S54,PAGE_3!U54,B54)</f>
        <v>7904.4285714285716</v>
      </c>
      <c r="E54" s="124">
        <f>SUM(PAGE_3!M54,PAGE_3!P54,PAGE_3!R54,PAGE_3!T54,PAGE_3!V54,C54)</f>
        <v>6865.8650280000002</v>
      </c>
      <c r="F54" s="124">
        <f t="shared" si="2"/>
        <v>3306</v>
      </c>
      <c r="G54" s="124">
        <f>ROUND(F54*[2]Manual_Input!K60,6)</f>
        <v>2871.624378</v>
      </c>
      <c r="H54" s="124">
        <f t="shared" si="3"/>
        <v>22126.571428571428</v>
      </c>
      <c r="I54" s="124">
        <f>ROUND(H54*[2]Manual_Input!K60,6)</f>
        <v>19219.359323000001</v>
      </c>
      <c r="J54" s="124">
        <f t="shared" si="4"/>
        <v>3913</v>
      </c>
      <c r="K54" s="124">
        <f>ROUND(J54*[2]Manual_Input!K60,6)</f>
        <v>3398.8705970000001</v>
      </c>
      <c r="L54" s="160">
        <f t="shared" si="8"/>
        <v>5000</v>
      </c>
      <c r="M54" s="124">
        <f>L54*[2]Manual_Input!K60</f>
        <v>4343.0495738820564</v>
      </c>
      <c r="N54" s="124">
        <f t="shared" si="5"/>
        <v>3600.7142857142858</v>
      </c>
      <c r="O54" s="125">
        <f>ROUND(N54*[2]Manual_Input!K60,6)</f>
        <v>3127.616129</v>
      </c>
      <c r="P54" s="124">
        <f t="shared" si="6"/>
        <v>175.71428571428572</v>
      </c>
      <c r="Q54" s="124">
        <f>ROUND(P54*[2]Manual_Input!K60,6)</f>
        <v>152.627171</v>
      </c>
      <c r="R54" s="124">
        <f t="shared" si="7"/>
        <v>38121.999999999993</v>
      </c>
      <c r="S54" s="124">
        <f t="shared" si="7"/>
        <v>33113.147171882054</v>
      </c>
      <c r="T54" s="9"/>
    </row>
    <row r="55" spans="1:227" ht="17.649999999999999" customHeight="1" x14ac:dyDescent="0.3">
      <c r="A55" s="156" t="s">
        <v>49</v>
      </c>
      <c r="B55" s="124">
        <f t="shared" si="1"/>
        <v>32</v>
      </c>
      <c r="C55" s="124">
        <f>ROUND(B55*[2]Manual_Input!K61,6)</f>
        <v>27.150566000000001</v>
      </c>
      <c r="D55" s="124">
        <f>SUM(PAGE_3!L55,PAGE_3!N55,PAGE_3!Q55,,PAGE_3!S55,PAGE_3!U55,B55)</f>
        <v>7904.4285714285716</v>
      </c>
      <c r="E55" s="124">
        <f>SUM(PAGE_3!M55,PAGE_3!P55,PAGE_3!R55,PAGE_3!T55,PAGE_3!V55,C55)</f>
        <v>6706.5534780000007</v>
      </c>
      <c r="F55" s="124">
        <f t="shared" si="2"/>
        <v>3306</v>
      </c>
      <c r="G55" s="124">
        <f>ROUND(F55*[2]Manual_Input!K61,6)</f>
        <v>2804.9928719999998</v>
      </c>
      <c r="H55" s="124">
        <f t="shared" si="3"/>
        <v>22126.571428571428</v>
      </c>
      <c r="I55" s="124">
        <f>ROUND(H55*[2]Manual_Input!K61,6)</f>
        <v>18773.404457000001</v>
      </c>
      <c r="J55" s="124">
        <f t="shared" si="4"/>
        <v>3913</v>
      </c>
      <c r="K55" s="124">
        <f>ROUND(J55*[2]Manual_Input!K61,6)</f>
        <v>3320.0051749999998</v>
      </c>
      <c r="L55" s="160">
        <f t="shared" si="8"/>
        <v>5000</v>
      </c>
      <c r="M55" s="124">
        <f>L55*[2]Manual_Input!K61</f>
        <v>4242.2759707068853</v>
      </c>
      <c r="N55" s="124">
        <f t="shared" si="5"/>
        <v>3600.7142857142858</v>
      </c>
      <c r="O55" s="125">
        <f>ROUND(N55*[2]Manual_Input!K61,6)</f>
        <v>3055.0447380000001</v>
      </c>
      <c r="P55" s="124">
        <f t="shared" si="6"/>
        <v>175.71428571428572</v>
      </c>
      <c r="Q55" s="124">
        <f>ROUND(P55*[2]Manual_Input!K61,6)</f>
        <v>149.08569800000001</v>
      </c>
      <c r="R55" s="124">
        <f t="shared" si="7"/>
        <v>38121.999999999993</v>
      </c>
      <c r="S55" s="124">
        <f t="shared" si="7"/>
        <v>32344.808910706881</v>
      </c>
      <c r="T55" s="9"/>
    </row>
    <row r="56" spans="1:227" ht="17.649999999999999" customHeight="1" thickBot="1" x14ac:dyDescent="0.35">
      <c r="A56" s="156" t="s">
        <v>50</v>
      </c>
      <c r="B56" s="124">
        <f t="shared" si="1"/>
        <v>32</v>
      </c>
      <c r="C56" s="124">
        <f>ROUND(B56*[2]Manual_Input!K62,6)</f>
        <v>26.520579999999999</v>
      </c>
      <c r="D56" s="124">
        <f>SUM(PAGE_3!L56,PAGE_3!N56,PAGE_3!Q56,,PAGE_3!S56,PAGE_3!U56,B56)</f>
        <v>7904.4285714285716</v>
      </c>
      <c r="E56" s="124">
        <f>SUM(PAGE_3!M56,PAGE_3!P56,PAGE_3!R56,PAGE_3!T56,PAGE_3!V56,C56)</f>
        <v>6550.9385009999996</v>
      </c>
      <c r="F56" s="124">
        <f t="shared" si="2"/>
        <v>3306</v>
      </c>
      <c r="G56" s="124">
        <f>ROUND(F56*[2]Manual_Input!K62,6)</f>
        <v>2739.9074439999999</v>
      </c>
      <c r="H56" s="124">
        <f t="shared" si="3"/>
        <v>22126.571428571428</v>
      </c>
      <c r="I56" s="124">
        <f>ROUND(H56*[2]Manual_Input!K62,6)</f>
        <v>18337.797268999999</v>
      </c>
      <c r="J56" s="124">
        <f t="shared" si="4"/>
        <v>3913</v>
      </c>
      <c r="K56" s="124">
        <f>ROUND(J56*[2]Manual_Input!K62,6)</f>
        <v>3242.9697000000001</v>
      </c>
      <c r="L56" s="160">
        <f t="shared" si="8"/>
        <v>5000</v>
      </c>
      <c r="M56" s="124">
        <f>L56*[2]Manual_Input!K62</f>
        <v>4143.8406597671919</v>
      </c>
      <c r="N56" s="124">
        <f t="shared" si="5"/>
        <v>3600.7142857142858</v>
      </c>
      <c r="O56" s="125">
        <f>ROUND(N56*[2]Manual_Input!K62,6)</f>
        <v>2984.157252</v>
      </c>
      <c r="P56" s="124">
        <f t="shared" si="6"/>
        <v>175.71428571428572</v>
      </c>
      <c r="Q56" s="124">
        <f>ROUND(P56*[2]Manual_Input!K62,6)</f>
        <v>145.62639999999999</v>
      </c>
      <c r="R56" s="124">
        <f t="shared" si="7"/>
        <v>38121.999999999993</v>
      </c>
      <c r="S56" s="124">
        <f t="shared" si="7"/>
        <v>31594.298724767195</v>
      </c>
      <c r="T56" s="9"/>
    </row>
    <row r="57" spans="1:227" ht="17.649999999999999" customHeight="1" x14ac:dyDescent="0.3">
      <c r="A57" s="156" t="s">
        <v>51</v>
      </c>
      <c r="B57" s="133">
        <f>SUM(B7:B56)</f>
        <v>5085</v>
      </c>
      <c r="C57" s="133">
        <f>SUM(C41:C56)</f>
        <v>230.66765599999999</v>
      </c>
      <c r="D57" s="133">
        <f>SUM(D7:D56)</f>
        <v>406077.85714285722</v>
      </c>
      <c r="E57" s="133">
        <f>SUM(E41:E56)</f>
        <v>56978.000392999995</v>
      </c>
      <c r="F57" s="133">
        <f>SUM(F7:F56)</f>
        <v>46284</v>
      </c>
      <c r="G57" s="133">
        <f>SUM(G7:G56)</f>
        <v>23830.852234999998</v>
      </c>
      <c r="H57" s="133">
        <f>SUM(H7:H56)</f>
        <v>1099189.142857143</v>
      </c>
      <c r="I57" s="133">
        <f>SUM(I41:I56)</f>
        <v>159496.386627</v>
      </c>
      <c r="J57" s="133">
        <f>SUM(J7:J56)</f>
        <v>262795</v>
      </c>
      <c r="K57" s="133">
        <f>SUM(K41:K56)</f>
        <v>28206.32934</v>
      </c>
      <c r="L57" s="133">
        <f>SUM(L7:L56)</f>
        <v>30085</v>
      </c>
      <c r="M57" s="133">
        <f>SUM(M41:M56)</f>
        <v>26387.180593715719</v>
      </c>
      <c r="N57" s="133">
        <f>SUM(N7:N56)</f>
        <v>106759.42857142861</v>
      </c>
      <c r="O57" s="133">
        <f>SUM(O41:O56)</f>
        <v>25955.260158000005</v>
      </c>
      <c r="P57" s="133">
        <f>SUM(P7:P56)</f>
        <v>230052.42857142861</v>
      </c>
      <c r="Q57" s="133">
        <f>SUM(Q41:Q56)</f>
        <v>1266.612576</v>
      </c>
      <c r="R57" s="133">
        <f>SUM(R7:R56)</f>
        <v>1775165</v>
      </c>
      <c r="S57" s="133">
        <f>SUM(S41:S56)</f>
        <v>265142.62152971566</v>
      </c>
      <c r="T57" s="9"/>
    </row>
    <row r="58" spans="1:227" ht="17.649999999999999" customHeight="1" x14ac:dyDescent="0.3">
      <c r="A58" s="159" t="s">
        <v>72</v>
      </c>
      <c r="B58" s="124">
        <f>AVERAGE(B41:B47)</f>
        <v>32</v>
      </c>
      <c r="C58" s="124"/>
      <c r="D58" s="124">
        <f>AVERAGE(D41:D47)</f>
        <v>7904.4285714285716</v>
      </c>
      <c r="E58" s="124"/>
      <c r="F58" s="124">
        <f>AVERAGE(F43:F47)</f>
        <v>3306</v>
      </c>
      <c r="G58" s="124"/>
      <c r="H58" s="124">
        <f>AVERAGE(H41:H47)</f>
        <v>22126.571428571428</v>
      </c>
      <c r="I58" s="124"/>
      <c r="J58" s="124">
        <f>AVERAGE(J41:J47)</f>
        <v>3913</v>
      </c>
      <c r="K58" s="124"/>
      <c r="L58" s="124">
        <f>35000/7</f>
        <v>5000</v>
      </c>
      <c r="M58" s="124"/>
      <c r="N58" s="124">
        <f>AVERAGE(N41:N47)</f>
        <v>3600.7142857142858</v>
      </c>
      <c r="O58" s="124"/>
      <c r="P58" s="124">
        <f>AVERAGE(P41:P47)</f>
        <v>175.71428571428572</v>
      </c>
      <c r="Q58" s="124"/>
      <c r="R58" s="124">
        <f>+F58+H58+J58+N58+P58+L58</f>
        <v>38121.999999999993</v>
      </c>
      <c r="S58" s="124"/>
      <c r="T58" s="9"/>
    </row>
    <row r="59" spans="1:227" ht="17.649999999999999" customHeight="1" x14ac:dyDescent="0.3">
      <c r="A59" s="130" t="s">
        <v>53</v>
      </c>
      <c r="B59" s="125">
        <f>+SUM(B49:B56)</f>
        <v>256</v>
      </c>
      <c r="C59" s="125">
        <f t="shared" ref="C59:S59" si="9">+SUM(C49:C56)</f>
        <v>230.66765599999999</v>
      </c>
      <c r="D59" s="125">
        <f t="shared" si="9"/>
        <v>63235.428571428572</v>
      </c>
      <c r="E59" s="125">
        <f t="shared" si="9"/>
        <v>56978.000392999995</v>
      </c>
      <c r="F59" s="125">
        <f t="shared" si="9"/>
        <v>26448</v>
      </c>
      <c r="G59" s="125">
        <f t="shared" si="9"/>
        <v>23830.852234999998</v>
      </c>
      <c r="H59" s="125">
        <f t="shared" si="9"/>
        <v>177012.57142857139</v>
      </c>
      <c r="I59" s="125">
        <f t="shared" si="9"/>
        <v>159496.386627</v>
      </c>
      <c r="J59" s="125">
        <f t="shared" si="9"/>
        <v>31304</v>
      </c>
      <c r="K59" s="125">
        <f t="shared" si="9"/>
        <v>28206.32934</v>
      </c>
      <c r="L59" s="125">
        <f t="shared" si="9"/>
        <v>30000</v>
      </c>
      <c r="M59" s="125">
        <f t="shared" si="9"/>
        <v>26387.180593715719</v>
      </c>
      <c r="N59" s="125">
        <f t="shared" si="9"/>
        <v>28805.714285714286</v>
      </c>
      <c r="O59" s="125">
        <f t="shared" si="9"/>
        <v>25955.260158000005</v>
      </c>
      <c r="P59" s="125">
        <f t="shared" si="9"/>
        <v>1405.714285714286</v>
      </c>
      <c r="Q59" s="125">
        <f t="shared" si="9"/>
        <v>1266.612576</v>
      </c>
      <c r="R59" s="125">
        <f t="shared" si="9"/>
        <v>294975.99999999994</v>
      </c>
      <c r="S59" s="125">
        <f t="shared" si="9"/>
        <v>265142.62152971566</v>
      </c>
      <c r="T59" s="9"/>
    </row>
    <row r="60" spans="1:227" ht="54.6" customHeight="1" x14ac:dyDescent="0.25">
      <c r="A60" s="40"/>
      <c r="B60" s="8"/>
      <c r="C60" s="41"/>
      <c r="D60" s="41"/>
      <c r="E60" s="42"/>
      <c r="F60" s="42"/>
      <c r="G60" s="42"/>
      <c r="H60" s="41"/>
      <c r="I60" s="42"/>
      <c r="J60" s="41"/>
      <c r="K60" s="42"/>
      <c r="L60" s="41"/>
      <c r="M60" s="42"/>
      <c r="N60" s="41"/>
      <c r="O60" s="42"/>
      <c r="P60" s="41"/>
      <c r="Q60" s="42"/>
      <c r="R60" s="41"/>
      <c r="S60" s="42"/>
      <c r="T60" s="21"/>
      <c r="U60" s="21"/>
      <c r="V60" s="21"/>
      <c r="W60" s="33"/>
      <c r="X60" s="89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</row>
    <row r="61" spans="1:227" ht="1.1499999999999999" customHeight="1" x14ac:dyDescent="0.25">
      <c r="A61" s="14"/>
      <c r="B61" s="9">
        <f>+SUM(B43:B56)</f>
        <v>371</v>
      </c>
      <c r="C61" s="22"/>
      <c r="D61" s="22"/>
      <c r="E61" s="22"/>
      <c r="F61" s="14"/>
      <c r="G61" s="14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27" ht="1.1499999999999999" customHeight="1" x14ac:dyDescent="0.2">
      <c r="A62" s="14"/>
      <c r="B62" s="14"/>
      <c r="C62" s="14"/>
      <c r="D62" s="14"/>
      <c r="E62" s="14"/>
      <c r="F62" s="14"/>
      <c r="G62" s="14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7" ht="1.1499999999999999" customHeight="1" x14ac:dyDescent="0.2">
      <c r="A63" s="14"/>
      <c r="B63" s="14"/>
      <c r="C63" s="14"/>
      <c r="D63" s="14"/>
      <c r="E63" s="14"/>
      <c r="F63" s="14"/>
      <c r="G63" s="14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27" ht="1.1499999999999999" customHeight="1" x14ac:dyDescent="0.2">
      <c r="A64" s="14"/>
      <c r="B64" s="14"/>
      <c r="C64" s="14"/>
      <c r="D64" s="14"/>
      <c r="E64" s="14"/>
      <c r="F64" s="14"/>
      <c r="G64" s="14"/>
      <c r="H64" s="9"/>
      <c r="I64" s="9"/>
      <c r="J64" s="9"/>
      <c r="K64" s="43"/>
      <c r="L64" s="9"/>
      <c r="M64" s="9"/>
      <c r="N64" s="9"/>
      <c r="O64" s="9"/>
      <c r="P64" s="9"/>
      <c r="Q64" s="9"/>
      <c r="R64" s="9"/>
      <c r="S64" s="9"/>
      <c r="T64" s="9"/>
    </row>
    <row r="65" spans="1:20" ht="15" customHeight="1" x14ac:dyDescent="0.2">
      <c r="A65" s="14"/>
      <c r="B65" s="14"/>
      <c r="C65" s="14"/>
      <c r="D65" s="14"/>
      <c r="E65" s="14"/>
      <c r="F65" s="14"/>
      <c r="G65" s="14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14"/>
      <c r="B66" s="14"/>
      <c r="C66" s="14"/>
      <c r="D66" s="14"/>
      <c r="E66" s="14"/>
      <c r="F66" s="9"/>
      <c r="G66" s="14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14"/>
      <c r="B67" s="14"/>
      <c r="C67" s="14"/>
      <c r="D67" s="14"/>
      <c r="E67" s="14"/>
      <c r="F67" s="14"/>
      <c r="G67" s="14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9"/>
      <c r="M68" s="9"/>
      <c r="N68" s="14"/>
      <c r="O68" s="14"/>
      <c r="P68" s="14"/>
      <c r="Q68" s="14"/>
      <c r="R68" s="14"/>
      <c r="S68" s="14"/>
      <c r="T68" s="14"/>
    </row>
    <row r="69" spans="1:20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N178" s="14"/>
      <c r="O178" s="14"/>
      <c r="P178" s="14"/>
      <c r="Q178" s="14"/>
      <c r="R178" s="14"/>
      <c r="S178" s="14"/>
      <c r="T178" s="14"/>
    </row>
    <row r="179" spans="1:20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N179" s="14"/>
      <c r="O179" s="14"/>
      <c r="P179" s="14"/>
      <c r="Q179" s="14"/>
      <c r="R179" s="14"/>
      <c r="S179" s="14"/>
      <c r="T179" s="14"/>
    </row>
    <row r="180" spans="1:20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N180" s="14"/>
      <c r="O180" s="14"/>
      <c r="P180" s="14"/>
      <c r="Q180" s="14"/>
      <c r="R180" s="14"/>
      <c r="S180" s="14"/>
      <c r="T180" s="14"/>
    </row>
    <row r="181" spans="1:20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N181" s="14"/>
      <c r="O181" s="14"/>
      <c r="P181" s="14"/>
      <c r="Q181" s="14"/>
      <c r="R181" s="14"/>
      <c r="S181" s="14"/>
      <c r="T181" s="14"/>
    </row>
    <row r="182" spans="1:20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N182" s="14"/>
      <c r="O182" s="14"/>
      <c r="P182" s="14"/>
      <c r="Q182" s="14"/>
      <c r="R182" s="14"/>
      <c r="S182" s="14"/>
      <c r="T182" s="14"/>
    </row>
    <row r="183" spans="1:20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N183" s="14"/>
      <c r="O183" s="14"/>
      <c r="P183" s="14"/>
      <c r="Q183" s="14"/>
      <c r="R183" s="14"/>
      <c r="S183" s="14"/>
      <c r="T183" s="14"/>
    </row>
    <row r="184" spans="1:20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N184" s="14"/>
      <c r="O184" s="14"/>
      <c r="P184" s="14"/>
      <c r="Q184" s="14"/>
      <c r="R184" s="14"/>
      <c r="S184" s="14"/>
      <c r="T184" s="14"/>
    </row>
    <row r="185" spans="1:20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N185" s="14"/>
      <c r="O185" s="14"/>
      <c r="P185" s="14"/>
      <c r="Q185" s="14"/>
      <c r="R185" s="14"/>
      <c r="S185" s="14"/>
      <c r="T185" s="14"/>
    </row>
    <row r="186" spans="1:20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N186" s="14"/>
      <c r="O186" s="14"/>
      <c r="P186" s="14"/>
      <c r="Q186" s="14"/>
      <c r="R186" s="14"/>
      <c r="S186" s="14"/>
      <c r="T186" s="14"/>
    </row>
    <row r="187" spans="1:20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N187" s="14"/>
      <c r="O187" s="14"/>
      <c r="P187" s="14"/>
      <c r="Q187" s="14"/>
      <c r="R187" s="14"/>
      <c r="S187" s="14"/>
      <c r="T187" s="14"/>
    </row>
    <row r="188" spans="1:20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N188" s="14"/>
      <c r="O188" s="14"/>
      <c r="P188" s="14"/>
      <c r="Q188" s="14"/>
      <c r="R188" s="14"/>
      <c r="S188" s="14"/>
      <c r="T188" s="14"/>
    </row>
    <row r="189" spans="1:20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N189" s="14"/>
      <c r="O189" s="14"/>
      <c r="P189" s="14"/>
      <c r="Q189" s="14"/>
      <c r="R189" s="14"/>
      <c r="S189" s="14"/>
      <c r="T189" s="14"/>
    </row>
    <row r="190" spans="1:20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N190" s="14"/>
      <c r="O190" s="14"/>
      <c r="P190" s="14"/>
      <c r="Q190" s="14"/>
      <c r="R190" s="14"/>
      <c r="S190" s="14"/>
      <c r="T190" s="14"/>
    </row>
    <row r="191" spans="1:20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N191" s="14"/>
      <c r="O191" s="14"/>
      <c r="P191" s="14"/>
      <c r="Q191" s="14"/>
      <c r="R191" s="14"/>
      <c r="S191" s="14"/>
      <c r="T191" s="14"/>
    </row>
    <row r="192" spans="1:20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N192" s="14"/>
      <c r="O192" s="14"/>
      <c r="P192" s="14"/>
      <c r="Q192" s="14"/>
      <c r="R192" s="14"/>
      <c r="S192" s="14"/>
      <c r="T192" s="14"/>
    </row>
    <row r="193" spans="1:20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N193" s="14"/>
      <c r="O193" s="14"/>
      <c r="P193" s="14"/>
      <c r="Q193" s="14"/>
      <c r="R193" s="14"/>
      <c r="S193" s="14"/>
      <c r="T193" s="14"/>
    </row>
    <row r="194" spans="1:20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N194" s="14"/>
      <c r="O194" s="14"/>
      <c r="P194" s="14"/>
      <c r="Q194" s="14"/>
      <c r="R194" s="14"/>
      <c r="S194" s="14"/>
      <c r="T194" s="14"/>
    </row>
    <row r="195" spans="1:20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N195" s="14"/>
      <c r="O195" s="14"/>
      <c r="P195" s="14"/>
      <c r="Q195" s="14"/>
      <c r="R195" s="14"/>
      <c r="S195" s="14"/>
      <c r="T195" s="14"/>
    </row>
    <row r="196" spans="1:20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N196" s="14"/>
      <c r="O196" s="14"/>
      <c r="P196" s="14"/>
      <c r="Q196" s="14"/>
      <c r="R196" s="14"/>
      <c r="S196" s="14"/>
      <c r="T196" s="14"/>
    </row>
    <row r="197" spans="1:20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N197" s="14"/>
      <c r="O197" s="14"/>
      <c r="P197" s="14"/>
      <c r="Q197" s="14"/>
      <c r="R197" s="14"/>
      <c r="S197" s="14"/>
      <c r="T197" s="14"/>
    </row>
    <row r="198" spans="1:20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N198" s="14"/>
      <c r="O198" s="14"/>
      <c r="P198" s="14"/>
      <c r="Q198" s="14"/>
      <c r="R198" s="14"/>
      <c r="S198" s="14"/>
      <c r="T198" s="14"/>
    </row>
    <row r="199" spans="1:20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N199" s="14"/>
      <c r="O199" s="14"/>
      <c r="P199" s="14"/>
      <c r="Q199" s="14"/>
      <c r="R199" s="14"/>
      <c r="S199" s="14"/>
      <c r="T199" s="14"/>
    </row>
    <row r="200" spans="1:20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N200" s="14"/>
      <c r="O200" s="14"/>
      <c r="P200" s="14"/>
      <c r="Q200" s="14"/>
      <c r="R200" s="14"/>
      <c r="S200" s="14"/>
      <c r="T200" s="14"/>
    </row>
    <row r="201" spans="1:20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N201" s="14"/>
      <c r="O201" s="14"/>
      <c r="P201" s="14"/>
      <c r="Q201" s="14"/>
      <c r="R201" s="14"/>
      <c r="S201" s="14"/>
      <c r="T201" s="14"/>
    </row>
    <row r="202" spans="1:20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N202" s="14"/>
      <c r="O202" s="14"/>
      <c r="P202" s="14"/>
      <c r="Q202" s="14"/>
      <c r="R202" s="14"/>
      <c r="S202" s="14"/>
      <c r="T202" s="14"/>
    </row>
    <row r="203" spans="1:20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N203" s="14"/>
      <c r="O203" s="14"/>
      <c r="P203" s="14"/>
      <c r="Q203" s="14"/>
      <c r="R203" s="14"/>
      <c r="S203" s="14"/>
      <c r="T203" s="14"/>
    </row>
    <row r="204" spans="1:20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N204" s="14"/>
      <c r="O204" s="14"/>
      <c r="P204" s="14"/>
      <c r="Q204" s="14"/>
      <c r="R204" s="14"/>
      <c r="S204" s="14"/>
      <c r="T204" s="14"/>
    </row>
    <row r="205" spans="1:20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N205" s="14"/>
      <c r="O205" s="14"/>
      <c r="P205" s="14"/>
      <c r="Q205" s="14"/>
      <c r="R205" s="14"/>
      <c r="S205" s="14"/>
      <c r="T205" s="14"/>
    </row>
    <row r="206" spans="1:20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N206" s="14"/>
      <c r="O206" s="14"/>
      <c r="P206" s="14"/>
      <c r="Q206" s="14"/>
      <c r="R206" s="14"/>
      <c r="S206" s="14"/>
      <c r="T206" s="14"/>
    </row>
    <row r="207" spans="1:20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N207" s="14"/>
      <c r="O207" s="14"/>
      <c r="P207" s="14"/>
      <c r="Q207" s="14"/>
      <c r="R207" s="14"/>
      <c r="S207" s="14"/>
      <c r="T207" s="14"/>
    </row>
    <row r="208" spans="1:20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N208" s="14"/>
      <c r="O208" s="14"/>
      <c r="P208" s="14"/>
      <c r="Q208" s="14"/>
      <c r="R208" s="14"/>
      <c r="S208" s="14"/>
      <c r="T208" s="14"/>
    </row>
    <row r="209" spans="1:20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N209" s="14"/>
      <c r="O209" s="14"/>
      <c r="P209" s="14"/>
      <c r="Q209" s="14"/>
      <c r="R209" s="14"/>
      <c r="S209" s="14"/>
      <c r="T209" s="14"/>
    </row>
    <row r="210" spans="1:20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N210" s="14"/>
      <c r="O210" s="14"/>
      <c r="P210" s="14"/>
      <c r="Q210" s="14"/>
      <c r="R210" s="14"/>
      <c r="S210" s="14"/>
      <c r="T210" s="14"/>
    </row>
    <row r="211" spans="1:20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N211" s="14"/>
      <c r="O211" s="14"/>
      <c r="P211" s="14"/>
      <c r="Q211" s="14"/>
      <c r="R211" s="14"/>
      <c r="S211" s="14"/>
      <c r="T211" s="14"/>
    </row>
    <row r="212" spans="1:20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N212" s="14"/>
      <c r="O212" s="14"/>
      <c r="P212" s="14"/>
      <c r="Q212" s="14"/>
      <c r="R212" s="14"/>
      <c r="S212" s="14"/>
      <c r="T212" s="14"/>
    </row>
    <row r="213" spans="1:20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N213" s="14"/>
      <c r="O213" s="14"/>
      <c r="P213" s="14"/>
      <c r="Q213" s="14"/>
      <c r="R213" s="14"/>
      <c r="S213" s="14"/>
      <c r="T213" s="14"/>
    </row>
    <row r="214" spans="1:20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N214" s="14"/>
      <c r="O214" s="14"/>
      <c r="P214" s="14"/>
      <c r="Q214" s="14"/>
      <c r="R214" s="14"/>
      <c r="S214" s="14"/>
      <c r="T214" s="14"/>
    </row>
    <row r="215" spans="1:20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N215" s="14"/>
      <c r="O215" s="14"/>
      <c r="P215" s="14"/>
      <c r="Q215" s="14"/>
      <c r="R215" s="14"/>
      <c r="S215" s="14"/>
      <c r="T215" s="14"/>
    </row>
    <row r="216" spans="1:20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N216" s="14"/>
      <c r="O216" s="14"/>
      <c r="P216" s="14"/>
      <c r="Q216" s="14"/>
      <c r="R216" s="14"/>
      <c r="S216" s="14"/>
      <c r="T216" s="14"/>
    </row>
    <row r="217" spans="1:20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N217" s="14"/>
      <c r="O217" s="14"/>
      <c r="P217" s="14"/>
      <c r="Q217" s="14"/>
      <c r="R217" s="14"/>
      <c r="S217" s="14"/>
      <c r="T217" s="14"/>
    </row>
    <row r="218" spans="1:20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N218" s="14"/>
      <c r="O218" s="14"/>
      <c r="P218" s="14"/>
      <c r="Q218" s="14"/>
      <c r="R218" s="14"/>
      <c r="S218" s="14"/>
      <c r="T218" s="14"/>
    </row>
    <row r="219" spans="1:20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N219" s="14"/>
      <c r="O219" s="14"/>
      <c r="P219" s="14"/>
      <c r="Q219" s="14"/>
      <c r="R219" s="14"/>
      <c r="S219" s="14"/>
      <c r="T219" s="14"/>
    </row>
    <row r="220" spans="1:20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N220" s="14"/>
      <c r="O220" s="14"/>
      <c r="P220" s="14"/>
      <c r="Q220" s="14"/>
      <c r="R220" s="14"/>
      <c r="S220" s="14"/>
      <c r="T220" s="14"/>
    </row>
    <row r="221" spans="1:20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N221" s="14"/>
      <c r="O221" s="14"/>
      <c r="P221" s="14"/>
      <c r="Q221" s="14"/>
      <c r="R221" s="14"/>
      <c r="S221" s="14"/>
      <c r="T221" s="14"/>
    </row>
    <row r="222" spans="1:20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N222" s="14"/>
      <c r="O222" s="14"/>
      <c r="P222" s="14"/>
      <c r="Q222" s="14"/>
      <c r="R222" s="14"/>
      <c r="S222" s="14"/>
      <c r="T222" s="14"/>
    </row>
    <row r="223" spans="1:20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N223" s="14"/>
      <c r="O223" s="14"/>
      <c r="P223" s="14"/>
      <c r="Q223" s="14"/>
      <c r="R223" s="14"/>
      <c r="S223" s="14"/>
      <c r="T223" s="14"/>
    </row>
    <row r="224" spans="1:20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N224" s="14"/>
      <c r="O224" s="14"/>
      <c r="P224" s="14"/>
      <c r="Q224" s="14"/>
      <c r="R224" s="14"/>
      <c r="S224" s="14"/>
      <c r="T224" s="14"/>
    </row>
    <row r="225" spans="1:20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N225" s="14"/>
      <c r="O225" s="14"/>
      <c r="P225" s="14"/>
      <c r="Q225" s="14"/>
      <c r="R225" s="14"/>
      <c r="S225" s="14"/>
      <c r="T225" s="14"/>
    </row>
    <row r="226" spans="1:20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N226" s="14"/>
      <c r="O226" s="14"/>
      <c r="P226" s="14"/>
      <c r="Q226" s="14"/>
      <c r="R226" s="14"/>
      <c r="S226" s="14"/>
      <c r="T226" s="14"/>
    </row>
    <row r="227" spans="1:20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N227" s="14"/>
      <c r="O227" s="14"/>
      <c r="P227" s="14"/>
      <c r="Q227" s="14"/>
      <c r="R227" s="14"/>
      <c r="S227" s="14"/>
      <c r="T227" s="14"/>
    </row>
    <row r="228" spans="1:20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N228" s="14"/>
      <c r="O228" s="14"/>
      <c r="P228" s="14"/>
      <c r="Q228" s="14"/>
      <c r="R228" s="14"/>
      <c r="S228" s="14"/>
      <c r="T228" s="14"/>
    </row>
    <row r="229" spans="1:20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N229" s="14"/>
      <c r="O229" s="14"/>
      <c r="P229" s="14"/>
      <c r="Q229" s="14"/>
      <c r="R229" s="14"/>
      <c r="S229" s="14"/>
      <c r="T229" s="14"/>
    </row>
    <row r="230" spans="1:20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N230" s="14"/>
      <c r="O230" s="14"/>
      <c r="P230" s="14"/>
      <c r="Q230" s="14"/>
      <c r="R230" s="14"/>
      <c r="S230" s="14"/>
      <c r="T230" s="14"/>
    </row>
    <row r="231" spans="1:20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N231" s="14"/>
      <c r="O231" s="14"/>
      <c r="P231" s="14"/>
      <c r="Q231" s="14"/>
      <c r="R231" s="14"/>
      <c r="S231" s="14"/>
      <c r="T231" s="14"/>
    </row>
    <row r="232" spans="1:20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N232" s="14"/>
      <c r="O232" s="14"/>
      <c r="P232" s="14"/>
      <c r="Q232" s="14"/>
      <c r="R232" s="14"/>
      <c r="S232" s="14"/>
      <c r="T232" s="14"/>
    </row>
    <row r="233" spans="1:20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N233" s="14"/>
      <c r="O233" s="14"/>
      <c r="P233" s="14"/>
      <c r="Q233" s="14"/>
      <c r="R233" s="14"/>
      <c r="S233" s="14"/>
      <c r="T233" s="14"/>
    </row>
    <row r="234" spans="1:20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N234" s="14"/>
      <c r="O234" s="14"/>
      <c r="P234" s="14"/>
      <c r="Q234" s="14"/>
      <c r="R234" s="14"/>
      <c r="S234" s="14"/>
      <c r="T234" s="14"/>
    </row>
    <row r="235" spans="1:20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N235" s="14"/>
      <c r="O235" s="14"/>
      <c r="P235" s="14"/>
      <c r="Q235" s="14"/>
      <c r="R235" s="14"/>
      <c r="S235" s="14"/>
      <c r="T235" s="14"/>
    </row>
    <row r="236" spans="1:20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N236" s="14"/>
      <c r="O236" s="14"/>
      <c r="P236" s="14"/>
      <c r="Q236" s="14"/>
      <c r="R236" s="14"/>
      <c r="S236" s="14"/>
      <c r="T236" s="14"/>
    </row>
    <row r="237" spans="1:20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N237" s="14"/>
      <c r="O237" s="14"/>
      <c r="P237" s="14"/>
      <c r="Q237" s="14"/>
      <c r="R237" s="14"/>
      <c r="S237" s="14"/>
      <c r="T237" s="14"/>
    </row>
    <row r="238" spans="1:20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N238" s="14"/>
      <c r="O238" s="14"/>
      <c r="P238" s="14"/>
      <c r="Q238" s="14"/>
      <c r="R238" s="14"/>
      <c r="S238" s="14"/>
      <c r="T238" s="14"/>
    </row>
    <row r="239" spans="1:2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N239" s="14"/>
      <c r="O239" s="14"/>
      <c r="P239" s="14"/>
      <c r="Q239" s="14"/>
      <c r="R239" s="14"/>
      <c r="S239" s="14"/>
      <c r="T239" s="14"/>
    </row>
    <row r="240" spans="1:20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N240" s="14"/>
      <c r="O240" s="14"/>
      <c r="P240" s="14"/>
      <c r="Q240" s="14"/>
      <c r="R240" s="14"/>
      <c r="S240" s="14"/>
      <c r="T240" s="14"/>
    </row>
    <row r="241" spans="1:20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N241" s="14"/>
      <c r="O241" s="14"/>
      <c r="P241" s="14"/>
      <c r="Q241" s="14"/>
      <c r="R241" s="14"/>
      <c r="S241" s="14"/>
      <c r="T241" s="14"/>
    </row>
    <row r="242" spans="1:20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N242" s="14"/>
      <c r="O242" s="14"/>
      <c r="P242" s="14"/>
      <c r="Q242" s="14"/>
      <c r="R242" s="14"/>
      <c r="S242" s="14"/>
      <c r="T242" s="14"/>
    </row>
    <row r="243" spans="1:20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N243" s="14"/>
      <c r="O243" s="14"/>
      <c r="P243" s="14"/>
      <c r="Q243" s="14"/>
      <c r="R243" s="14"/>
      <c r="S243" s="14"/>
      <c r="T243" s="14"/>
    </row>
    <row r="244" spans="1:20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N244" s="14"/>
      <c r="O244" s="14"/>
      <c r="P244" s="14"/>
      <c r="Q244" s="14"/>
      <c r="R244" s="14"/>
      <c r="S244" s="14"/>
      <c r="T244" s="14"/>
    </row>
    <row r="245" spans="1:20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N245" s="14"/>
      <c r="O245" s="14"/>
      <c r="P245" s="14"/>
      <c r="Q245" s="14"/>
      <c r="R245" s="14"/>
      <c r="S245" s="14"/>
      <c r="T245" s="14"/>
    </row>
    <row r="246" spans="1:20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N246" s="14"/>
      <c r="O246" s="14"/>
      <c r="P246" s="14"/>
      <c r="Q246" s="14"/>
      <c r="R246" s="14"/>
      <c r="S246" s="14"/>
      <c r="T246" s="14"/>
    </row>
    <row r="247" spans="1:20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N247" s="14"/>
      <c r="O247" s="14"/>
      <c r="P247" s="14"/>
      <c r="Q247" s="14"/>
      <c r="R247" s="14"/>
      <c r="S247" s="14"/>
      <c r="T247" s="14"/>
    </row>
    <row r="248" spans="1:20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N248" s="14"/>
      <c r="O248" s="14"/>
      <c r="P248" s="14"/>
      <c r="Q248" s="14"/>
      <c r="R248" s="14"/>
      <c r="S248" s="14"/>
      <c r="T248" s="14"/>
    </row>
    <row r="249" spans="1:20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N249" s="14"/>
      <c r="O249" s="14"/>
      <c r="P249" s="14"/>
      <c r="Q249" s="14"/>
      <c r="R249" s="14"/>
      <c r="S249" s="14"/>
      <c r="T249" s="14"/>
    </row>
    <row r="250" spans="1:20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N250" s="14"/>
      <c r="O250" s="14"/>
      <c r="P250" s="14"/>
      <c r="Q250" s="14"/>
      <c r="R250" s="14"/>
      <c r="S250" s="14"/>
      <c r="T250" s="14"/>
    </row>
    <row r="251" spans="1:20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N251" s="14"/>
      <c r="O251" s="14"/>
      <c r="P251" s="14"/>
      <c r="Q251" s="14"/>
      <c r="R251" s="14"/>
      <c r="S251" s="14"/>
      <c r="T251" s="14"/>
    </row>
    <row r="252" spans="1:20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N252" s="14"/>
      <c r="O252" s="14"/>
      <c r="P252" s="14"/>
      <c r="Q252" s="14"/>
      <c r="R252" s="14"/>
      <c r="S252" s="14"/>
      <c r="T252" s="14"/>
    </row>
    <row r="253" spans="1:20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N253" s="14"/>
      <c r="O253" s="14"/>
      <c r="P253" s="14"/>
      <c r="Q253" s="14"/>
      <c r="R253" s="14"/>
      <c r="S253" s="14"/>
      <c r="T253" s="14"/>
    </row>
    <row r="254" spans="1:20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N254" s="14"/>
      <c r="O254" s="14"/>
      <c r="P254" s="14"/>
      <c r="Q254" s="14"/>
      <c r="R254" s="14"/>
      <c r="S254" s="14"/>
      <c r="T254" s="14"/>
    </row>
    <row r="255" spans="1:20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N255" s="14"/>
      <c r="O255" s="14"/>
      <c r="P255" s="14"/>
      <c r="Q255" s="14"/>
      <c r="R255" s="14"/>
      <c r="S255" s="14"/>
      <c r="T255" s="14"/>
    </row>
    <row r="256" spans="1:20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N256" s="14"/>
      <c r="O256" s="14"/>
      <c r="P256" s="14"/>
      <c r="Q256" s="14"/>
      <c r="R256" s="14"/>
      <c r="S256" s="14"/>
      <c r="T256" s="14"/>
    </row>
    <row r="257" spans="1:20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N257" s="14"/>
      <c r="O257" s="14"/>
      <c r="P257" s="14"/>
      <c r="Q257" s="14"/>
      <c r="R257" s="14"/>
      <c r="S257" s="14"/>
      <c r="T257" s="14"/>
    </row>
    <row r="258" spans="1:20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N258" s="14"/>
      <c r="O258" s="14"/>
      <c r="P258" s="14"/>
      <c r="Q258" s="14"/>
      <c r="R258" s="14"/>
      <c r="S258" s="14"/>
      <c r="T258" s="14"/>
    </row>
    <row r="259" spans="1:20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N259" s="14"/>
      <c r="O259" s="14"/>
      <c r="P259" s="14"/>
      <c r="Q259" s="14"/>
      <c r="R259" s="14"/>
      <c r="S259" s="14"/>
      <c r="T259" s="14"/>
    </row>
    <row r="260" spans="1:20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N260" s="14"/>
      <c r="O260" s="14"/>
      <c r="P260" s="14"/>
      <c r="Q260" s="14"/>
      <c r="R260" s="14"/>
      <c r="S260" s="14"/>
      <c r="T260" s="14"/>
    </row>
    <row r="261" spans="1:20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N261" s="14"/>
      <c r="O261" s="14"/>
      <c r="P261" s="14"/>
      <c r="Q261" s="14"/>
      <c r="R261" s="14"/>
      <c r="S261" s="14"/>
      <c r="T261" s="14"/>
    </row>
    <row r="262" spans="1:20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N262" s="14"/>
      <c r="O262" s="14"/>
      <c r="P262" s="14"/>
      <c r="Q262" s="14"/>
      <c r="R262" s="14"/>
      <c r="S262" s="14"/>
      <c r="T262" s="14"/>
    </row>
    <row r="263" spans="1:20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N263" s="14"/>
      <c r="O263" s="14"/>
      <c r="P263" s="14"/>
      <c r="Q263" s="14"/>
      <c r="R263" s="14"/>
      <c r="S263" s="14"/>
      <c r="T263" s="14"/>
    </row>
    <row r="264" spans="1:20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N264" s="14"/>
      <c r="O264" s="14"/>
      <c r="P264" s="14"/>
      <c r="Q264" s="14"/>
      <c r="R264" s="14"/>
      <c r="S264" s="14"/>
      <c r="T264" s="14"/>
    </row>
    <row r="265" spans="1:20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N265" s="14"/>
      <c r="O265" s="14"/>
      <c r="P265" s="14"/>
      <c r="Q265" s="14"/>
      <c r="R265" s="14"/>
      <c r="S265" s="14"/>
      <c r="T265" s="14"/>
    </row>
    <row r="266" spans="1:20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N266" s="14"/>
      <c r="O266" s="14"/>
      <c r="P266" s="14"/>
      <c r="Q266" s="14"/>
      <c r="R266" s="14"/>
      <c r="S266" s="14"/>
      <c r="T266" s="14"/>
    </row>
    <row r="267" spans="1:20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N267" s="14"/>
      <c r="O267" s="14"/>
      <c r="P267" s="14"/>
      <c r="Q267" s="14"/>
      <c r="R267" s="14"/>
      <c r="S267" s="14"/>
      <c r="T267" s="14"/>
    </row>
    <row r="268" spans="1:20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N268" s="14"/>
      <c r="O268" s="14"/>
      <c r="P268" s="14"/>
      <c r="Q268" s="14"/>
      <c r="R268" s="14"/>
      <c r="S268" s="14"/>
      <c r="T268" s="14"/>
    </row>
    <row r="269" spans="1:20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N269" s="14"/>
      <c r="O269" s="14"/>
      <c r="P269" s="14"/>
      <c r="Q269" s="14"/>
      <c r="R269" s="14"/>
      <c r="S269" s="14"/>
      <c r="T269" s="14"/>
    </row>
    <row r="270" spans="1:20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N270" s="14"/>
      <c r="O270" s="14"/>
      <c r="P270" s="14"/>
      <c r="Q270" s="14"/>
      <c r="R270" s="14"/>
      <c r="S270" s="14"/>
      <c r="T270" s="14"/>
    </row>
    <row r="271" spans="1:20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N271" s="14"/>
      <c r="O271" s="14"/>
      <c r="P271" s="14"/>
      <c r="Q271" s="14"/>
      <c r="R271" s="14"/>
      <c r="S271" s="14"/>
      <c r="T271" s="14"/>
    </row>
    <row r="272" spans="1:20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N272" s="14"/>
      <c r="O272" s="14"/>
      <c r="P272" s="14"/>
      <c r="Q272" s="14"/>
      <c r="R272" s="14"/>
      <c r="S272" s="14"/>
      <c r="T272" s="14"/>
    </row>
    <row r="273" spans="1:20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N273" s="14"/>
      <c r="O273" s="14"/>
      <c r="P273" s="14"/>
      <c r="Q273" s="14"/>
      <c r="R273" s="14"/>
      <c r="S273" s="14"/>
      <c r="T273" s="14"/>
    </row>
    <row r="274" spans="1:20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N274" s="14"/>
      <c r="O274" s="14"/>
      <c r="P274" s="14"/>
      <c r="Q274" s="14"/>
      <c r="R274" s="14"/>
      <c r="S274" s="14"/>
      <c r="T274" s="14"/>
    </row>
    <row r="275" spans="1:20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N275" s="14"/>
      <c r="O275" s="14"/>
      <c r="P275" s="14"/>
      <c r="Q275" s="14"/>
      <c r="R275" s="14"/>
      <c r="S275" s="14"/>
      <c r="T275" s="14"/>
    </row>
    <row r="276" spans="1:20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N276" s="14"/>
      <c r="O276" s="14"/>
      <c r="P276" s="14"/>
      <c r="Q276" s="14"/>
      <c r="R276" s="14"/>
      <c r="S276" s="14"/>
      <c r="T276" s="14"/>
    </row>
    <row r="277" spans="1:20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N277" s="14"/>
      <c r="O277" s="14"/>
      <c r="P277" s="14"/>
      <c r="Q277" s="14"/>
      <c r="R277" s="14"/>
      <c r="S277" s="14"/>
      <c r="T277" s="14"/>
    </row>
    <row r="278" spans="1:20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N278" s="14"/>
      <c r="O278" s="14"/>
      <c r="P278" s="14"/>
      <c r="Q278" s="14"/>
      <c r="R278" s="14"/>
      <c r="S278" s="14"/>
      <c r="T278" s="14"/>
    </row>
    <row r="279" spans="1:20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N279" s="14"/>
      <c r="O279" s="14"/>
      <c r="P279" s="14"/>
      <c r="Q279" s="14"/>
      <c r="R279" s="14"/>
      <c r="S279" s="14"/>
      <c r="T279" s="14"/>
    </row>
    <row r="280" spans="1:20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N280" s="14"/>
      <c r="O280" s="14"/>
      <c r="P280" s="14"/>
      <c r="Q280" s="14"/>
      <c r="R280" s="14"/>
      <c r="S280" s="14"/>
      <c r="T280" s="14"/>
    </row>
    <row r="281" spans="1:20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N281" s="14"/>
      <c r="O281" s="14"/>
      <c r="P281" s="14"/>
      <c r="Q281" s="14"/>
      <c r="R281" s="14"/>
      <c r="S281" s="14"/>
      <c r="T281" s="14"/>
    </row>
    <row r="282" spans="1:20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N282" s="14"/>
      <c r="O282" s="14"/>
      <c r="P282" s="14"/>
      <c r="Q282" s="14"/>
      <c r="R282" s="14"/>
      <c r="S282" s="14"/>
      <c r="T282" s="14"/>
    </row>
    <row r="283" spans="1:20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N283" s="14"/>
      <c r="O283" s="14"/>
      <c r="P283" s="14"/>
      <c r="Q283" s="14"/>
      <c r="R283" s="14"/>
      <c r="S283" s="14"/>
      <c r="T283" s="14"/>
    </row>
    <row r="284" spans="1:20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N284" s="14"/>
      <c r="O284" s="14"/>
      <c r="P284" s="14"/>
      <c r="Q284" s="14"/>
      <c r="R284" s="14"/>
      <c r="S284" s="14"/>
      <c r="T284" s="14"/>
    </row>
    <row r="285" spans="1:20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N285" s="14"/>
      <c r="O285" s="14"/>
      <c r="P285" s="14"/>
      <c r="Q285" s="14"/>
      <c r="R285" s="14"/>
      <c r="S285" s="14"/>
      <c r="T285" s="14"/>
    </row>
    <row r="286" spans="1:20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N286" s="14"/>
      <c r="O286" s="14"/>
      <c r="P286" s="14"/>
      <c r="Q286" s="14"/>
      <c r="R286" s="14"/>
      <c r="S286" s="14"/>
      <c r="T286" s="14"/>
    </row>
    <row r="287" spans="1:20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N287" s="14"/>
      <c r="O287" s="14"/>
      <c r="P287" s="14"/>
      <c r="Q287" s="14"/>
      <c r="R287" s="14"/>
      <c r="S287" s="14"/>
      <c r="T287" s="14"/>
    </row>
    <row r="288" spans="1:20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N288" s="14"/>
      <c r="O288" s="14"/>
      <c r="P288" s="14"/>
      <c r="Q288" s="14"/>
      <c r="R288" s="14"/>
      <c r="S288" s="14"/>
      <c r="T288" s="14"/>
    </row>
    <row r="289" spans="1:20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N289" s="14"/>
      <c r="O289" s="14"/>
      <c r="P289" s="14"/>
      <c r="Q289" s="14"/>
      <c r="R289" s="14"/>
      <c r="S289" s="14"/>
      <c r="T289" s="14"/>
    </row>
    <row r="290" spans="1:20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N290" s="14"/>
      <c r="O290" s="14"/>
      <c r="P290" s="14"/>
      <c r="Q290" s="14"/>
      <c r="R290" s="14"/>
      <c r="S290" s="14"/>
      <c r="T290" s="14"/>
    </row>
    <row r="291" spans="1:20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N291" s="14"/>
      <c r="O291" s="14"/>
      <c r="P291" s="14"/>
      <c r="Q291" s="14"/>
      <c r="R291" s="14"/>
      <c r="S291" s="14"/>
      <c r="T291" s="14"/>
    </row>
    <row r="292" spans="1:20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N292" s="14"/>
      <c r="O292" s="14"/>
      <c r="P292" s="14"/>
      <c r="Q292" s="14"/>
      <c r="R292" s="14"/>
      <c r="S292" s="14"/>
      <c r="T292" s="14"/>
    </row>
    <row r="293" spans="1:20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N293" s="14"/>
      <c r="O293" s="14"/>
      <c r="P293" s="14"/>
      <c r="Q293" s="14"/>
      <c r="R293" s="14"/>
      <c r="S293" s="14"/>
      <c r="T293" s="14"/>
    </row>
    <row r="294" spans="1:20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N294" s="14"/>
      <c r="O294" s="14"/>
      <c r="P294" s="14"/>
      <c r="Q294" s="14"/>
      <c r="R294" s="14"/>
      <c r="S294" s="14"/>
      <c r="T294" s="14"/>
    </row>
    <row r="295" spans="1:20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N295" s="14"/>
      <c r="O295" s="14"/>
      <c r="P295" s="14"/>
      <c r="Q295" s="14"/>
      <c r="R295" s="14"/>
      <c r="S295" s="14"/>
      <c r="T295" s="14"/>
    </row>
    <row r="296" spans="1:20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N296" s="14"/>
      <c r="O296" s="14"/>
      <c r="P296" s="14"/>
      <c r="Q296" s="14"/>
      <c r="R296" s="14"/>
      <c r="S296" s="14"/>
      <c r="T296" s="14"/>
    </row>
    <row r="297" spans="1:20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N297" s="14"/>
      <c r="O297" s="14"/>
      <c r="P297" s="14"/>
      <c r="Q297" s="14"/>
      <c r="R297" s="14"/>
      <c r="S297" s="14"/>
      <c r="T297" s="14"/>
    </row>
    <row r="298" spans="1:20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N298" s="14"/>
      <c r="O298" s="14"/>
      <c r="P298" s="14"/>
      <c r="Q298" s="14"/>
      <c r="R298" s="14"/>
      <c r="S298" s="14"/>
      <c r="T298" s="14"/>
    </row>
    <row r="299" spans="1:20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N299" s="14"/>
      <c r="O299" s="14"/>
      <c r="P299" s="14"/>
      <c r="Q299" s="14"/>
      <c r="R299" s="14"/>
      <c r="S299" s="14"/>
      <c r="T299" s="14"/>
    </row>
    <row r="300" spans="1:20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N300" s="14"/>
      <c r="O300" s="14"/>
      <c r="P300" s="14"/>
      <c r="Q300" s="14"/>
      <c r="R300" s="14"/>
      <c r="S300" s="14"/>
      <c r="T300" s="14"/>
    </row>
    <row r="301" spans="1:20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N301" s="14"/>
      <c r="O301" s="14"/>
      <c r="P301" s="14"/>
      <c r="Q301" s="14"/>
      <c r="R301" s="14"/>
      <c r="S301" s="14"/>
      <c r="T301" s="14"/>
    </row>
    <row r="302" spans="1:20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N302" s="14"/>
      <c r="O302" s="14"/>
      <c r="P302" s="14"/>
      <c r="Q302" s="14"/>
      <c r="R302" s="14"/>
      <c r="S302" s="14"/>
      <c r="T302" s="14"/>
    </row>
    <row r="303" spans="1:20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N303" s="14"/>
      <c r="O303" s="14"/>
      <c r="P303" s="14"/>
      <c r="Q303" s="14"/>
      <c r="R303" s="14"/>
      <c r="S303" s="14"/>
      <c r="T303" s="14"/>
    </row>
    <row r="304" spans="1:20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N304" s="14"/>
      <c r="O304" s="14"/>
      <c r="P304" s="14"/>
      <c r="Q304" s="14"/>
      <c r="R304" s="14"/>
      <c r="S304" s="14"/>
      <c r="T304" s="14"/>
    </row>
    <row r="305" spans="1:20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N305" s="14"/>
      <c r="O305" s="14"/>
      <c r="P305" s="14"/>
      <c r="Q305" s="14"/>
      <c r="R305" s="14"/>
      <c r="S305" s="14"/>
      <c r="T305" s="14"/>
    </row>
    <row r="306" spans="1:20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N306" s="14"/>
      <c r="O306" s="14"/>
      <c r="P306" s="14"/>
      <c r="Q306" s="14"/>
      <c r="R306" s="14"/>
      <c r="S306" s="14"/>
      <c r="T306" s="14"/>
    </row>
    <row r="307" spans="1:20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N307" s="14"/>
      <c r="O307" s="14"/>
      <c r="P307" s="14"/>
      <c r="Q307" s="14"/>
      <c r="R307" s="14"/>
      <c r="S307" s="14"/>
      <c r="T307" s="14"/>
    </row>
    <row r="308" spans="1:20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N308" s="14"/>
      <c r="O308" s="14"/>
      <c r="P308" s="14"/>
      <c r="Q308" s="14"/>
      <c r="R308" s="14"/>
      <c r="S308" s="14"/>
      <c r="T308" s="14"/>
    </row>
    <row r="309" spans="1:20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N309" s="14"/>
      <c r="O309" s="14"/>
      <c r="P309" s="14"/>
      <c r="Q309" s="14"/>
      <c r="R309" s="14"/>
      <c r="S309" s="14"/>
      <c r="T309" s="14"/>
    </row>
    <row r="310" spans="1:20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N310" s="14"/>
      <c r="O310" s="14"/>
      <c r="P310" s="14"/>
      <c r="Q310" s="14"/>
      <c r="R310" s="14"/>
      <c r="S310" s="14"/>
      <c r="T310" s="14"/>
    </row>
    <row r="311" spans="1:20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N311" s="14"/>
      <c r="O311" s="14"/>
      <c r="P311" s="14"/>
      <c r="Q311" s="14"/>
      <c r="R311" s="14"/>
      <c r="S311" s="14"/>
      <c r="T311" s="14"/>
    </row>
    <row r="312" spans="1:20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N312" s="14"/>
      <c r="O312" s="14"/>
      <c r="P312" s="14"/>
      <c r="Q312" s="14"/>
      <c r="R312" s="14"/>
      <c r="S312" s="14"/>
      <c r="T312" s="14"/>
    </row>
    <row r="313" spans="1:20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N313" s="14"/>
      <c r="O313" s="14"/>
      <c r="P313" s="14"/>
      <c r="Q313" s="14"/>
      <c r="R313" s="14"/>
      <c r="S313" s="14"/>
      <c r="T313" s="14"/>
    </row>
    <row r="314" spans="1:20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N314" s="14"/>
      <c r="O314" s="14"/>
      <c r="P314" s="14"/>
      <c r="Q314" s="14"/>
      <c r="R314" s="14"/>
      <c r="S314" s="14"/>
      <c r="T314" s="14"/>
    </row>
    <row r="315" spans="1:20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N315" s="14"/>
      <c r="O315" s="14"/>
      <c r="P315" s="14"/>
      <c r="Q315" s="14"/>
      <c r="R315" s="14"/>
      <c r="S315" s="14"/>
      <c r="T315" s="14"/>
    </row>
    <row r="316" spans="1:20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N316" s="14"/>
      <c r="O316" s="14"/>
      <c r="P316" s="14"/>
      <c r="Q316" s="14"/>
      <c r="R316" s="14"/>
      <c r="S316" s="14"/>
      <c r="T316" s="14"/>
    </row>
    <row r="317" spans="1:20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N317" s="14"/>
      <c r="O317" s="14"/>
      <c r="P317" s="14"/>
      <c r="Q317" s="14"/>
      <c r="R317" s="14"/>
      <c r="S317" s="14"/>
      <c r="T317" s="14"/>
    </row>
    <row r="318" spans="1:20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N318" s="14"/>
      <c r="O318" s="14"/>
      <c r="P318" s="14"/>
      <c r="Q318" s="14"/>
      <c r="R318" s="14"/>
      <c r="S318" s="14"/>
      <c r="T318" s="14"/>
    </row>
    <row r="319" spans="1:20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N319" s="14"/>
      <c r="O319" s="14"/>
      <c r="P319" s="14"/>
      <c r="Q319" s="14"/>
      <c r="R319" s="14"/>
      <c r="S319" s="14"/>
      <c r="T319" s="14"/>
    </row>
    <row r="320" spans="1:20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N320" s="14"/>
      <c r="O320" s="14"/>
      <c r="P320" s="14"/>
      <c r="Q320" s="14"/>
      <c r="R320" s="14"/>
      <c r="S320" s="14"/>
      <c r="T320" s="14"/>
    </row>
    <row r="321" spans="1:20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N321" s="14"/>
      <c r="O321" s="14"/>
      <c r="P321" s="14"/>
      <c r="Q321" s="14"/>
      <c r="R321" s="14"/>
      <c r="S321" s="14"/>
      <c r="T321" s="14"/>
    </row>
    <row r="322" spans="1:20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N322" s="14"/>
      <c r="O322" s="14"/>
      <c r="P322" s="14"/>
      <c r="Q322" s="14"/>
      <c r="R322" s="14"/>
      <c r="S322" s="14"/>
      <c r="T322" s="14"/>
    </row>
    <row r="323" spans="1:20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N323" s="14"/>
      <c r="O323" s="14"/>
      <c r="P323" s="14"/>
      <c r="Q323" s="14"/>
      <c r="R323" s="14"/>
      <c r="S323" s="14"/>
      <c r="T323" s="14"/>
    </row>
    <row r="324" spans="1:20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N324" s="14"/>
      <c r="O324" s="14"/>
      <c r="P324" s="14"/>
      <c r="Q324" s="14"/>
      <c r="R324" s="14"/>
      <c r="S324" s="14"/>
      <c r="T324" s="14"/>
    </row>
    <row r="325" spans="1:20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N325" s="14"/>
      <c r="O325" s="14"/>
      <c r="P325" s="14"/>
      <c r="Q325" s="14"/>
      <c r="R325" s="14"/>
      <c r="S325" s="14"/>
      <c r="T325" s="14"/>
    </row>
    <row r="326" spans="1:20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N326" s="14"/>
      <c r="O326" s="14"/>
      <c r="P326" s="14"/>
      <c r="Q326" s="14"/>
      <c r="R326" s="14"/>
      <c r="S326" s="14"/>
      <c r="T326" s="14"/>
    </row>
    <row r="327" spans="1:20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N327" s="14"/>
      <c r="O327" s="14"/>
      <c r="P327" s="14"/>
      <c r="Q327" s="14"/>
      <c r="R327" s="14"/>
      <c r="S327" s="14"/>
      <c r="T327" s="14"/>
    </row>
    <row r="328" spans="1:20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N328" s="14"/>
      <c r="O328" s="14"/>
      <c r="P328" s="14"/>
      <c r="Q328" s="14"/>
      <c r="R328" s="14"/>
      <c r="S328" s="14"/>
      <c r="T328" s="14"/>
    </row>
    <row r="329" spans="1:20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N329" s="14"/>
      <c r="O329" s="14"/>
      <c r="P329" s="14"/>
      <c r="Q329" s="14"/>
      <c r="R329" s="14"/>
      <c r="S329" s="14"/>
      <c r="T329" s="14"/>
    </row>
    <row r="330" spans="1:20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N330" s="14"/>
      <c r="O330" s="14"/>
      <c r="P330" s="14"/>
      <c r="Q330" s="14"/>
      <c r="R330" s="14"/>
      <c r="S330" s="14"/>
      <c r="T330" s="14"/>
    </row>
    <row r="331" spans="1:20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N331" s="14"/>
      <c r="O331" s="14"/>
      <c r="P331" s="14"/>
      <c r="Q331" s="14"/>
      <c r="R331" s="14"/>
      <c r="S331" s="14"/>
      <c r="T331" s="14"/>
    </row>
    <row r="332" spans="1:20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N332" s="14"/>
      <c r="O332" s="14"/>
      <c r="P332" s="14"/>
      <c r="Q332" s="14"/>
      <c r="R332" s="14"/>
      <c r="S332" s="14"/>
      <c r="T332" s="14"/>
    </row>
    <row r="333" spans="1:20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N333" s="14"/>
      <c r="O333" s="14"/>
      <c r="P333" s="14"/>
      <c r="Q333" s="14"/>
      <c r="R333" s="14"/>
      <c r="S333" s="14"/>
      <c r="T333" s="14"/>
    </row>
    <row r="334" spans="1:20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N334" s="14"/>
      <c r="O334" s="14"/>
      <c r="P334" s="14"/>
      <c r="Q334" s="14"/>
      <c r="R334" s="14"/>
      <c r="S334" s="14"/>
      <c r="T334" s="14"/>
    </row>
    <row r="335" spans="1:20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N335" s="14"/>
      <c r="O335" s="14"/>
      <c r="P335" s="14"/>
      <c r="Q335" s="14"/>
      <c r="R335" s="14"/>
      <c r="S335" s="14"/>
      <c r="T335" s="14"/>
    </row>
    <row r="336" spans="1:20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N336" s="14"/>
      <c r="O336" s="14"/>
      <c r="P336" s="14"/>
      <c r="Q336" s="14"/>
      <c r="R336" s="14"/>
      <c r="S336" s="14"/>
      <c r="T336" s="14"/>
    </row>
    <row r="337" spans="1:20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N337" s="14"/>
      <c r="O337" s="14"/>
      <c r="P337" s="14"/>
      <c r="Q337" s="14"/>
      <c r="R337" s="14"/>
      <c r="S337" s="14"/>
      <c r="T337" s="14"/>
    </row>
    <row r="338" spans="1:20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N338" s="14"/>
      <c r="O338" s="14"/>
      <c r="P338" s="14"/>
      <c r="Q338" s="14"/>
      <c r="R338" s="14"/>
      <c r="S338" s="14"/>
      <c r="T338" s="14"/>
    </row>
    <row r="339" spans="1:20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N339" s="14"/>
      <c r="O339" s="14"/>
      <c r="P339" s="14"/>
      <c r="Q339" s="14"/>
      <c r="R339" s="14"/>
      <c r="S339" s="14"/>
      <c r="T339" s="14"/>
    </row>
    <row r="340" spans="1:20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N340" s="14"/>
      <c r="O340" s="14"/>
      <c r="P340" s="14"/>
      <c r="Q340" s="14"/>
      <c r="R340" s="14"/>
      <c r="S340" s="14"/>
      <c r="T340" s="14"/>
    </row>
    <row r="341" spans="1:20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N341" s="14"/>
      <c r="O341" s="14"/>
      <c r="P341" s="14"/>
      <c r="Q341" s="14"/>
      <c r="R341" s="14"/>
      <c r="S341" s="14"/>
      <c r="T341" s="14"/>
    </row>
    <row r="342" spans="1:20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N342" s="14"/>
      <c r="O342" s="14"/>
      <c r="P342" s="14"/>
      <c r="Q342" s="14"/>
      <c r="R342" s="14"/>
      <c r="S342" s="14"/>
      <c r="T342" s="14"/>
    </row>
    <row r="343" spans="1:20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N343" s="14"/>
      <c r="O343" s="14"/>
      <c r="P343" s="14"/>
      <c r="Q343" s="14"/>
      <c r="R343" s="14"/>
      <c r="S343" s="14"/>
      <c r="T343" s="14"/>
    </row>
    <row r="344" spans="1:20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N344" s="14"/>
      <c r="O344" s="14"/>
      <c r="P344" s="14"/>
      <c r="Q344" s="14"/>
      <c r="R344" s="14"/>
      <c r="S344" s="14"/>
      <c r="T344" s="14"/>
    </row>
    <row r="345" spans="1:20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N345" s="14"/>
      <c r="O345" s="14"/>
      <c r="P345" s="14"/>
      <c r="Q345" s="14"/>
      <c r="R345" s="14"/>
      <c r="S345" s="14"/>
      <c r="T345" s="14"/>
    </row>
    <row r="346" spans="1:20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N346" s="14"/>
      <c r="O346" s="14"/>
      <c r="P346" s="14"/>
      <c r="Q346" s="14"/>
      <c r="R346" s="14"/>
      <c r="S346" s="14"/>
      <c r="T346" s="14"/>
    </row>
    <row r="347" spans="1:20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N347" s="14"/>
      <c r="O347" s="14"/>
      <c r="P347" s="14"/>
      <c r="Q347" s="14"/>
      <c r="R347" s="14"/>
      <c r="S347" s="14"/>
      <c r="T347" s="14"/>
    </row>
    <row r="348" spans="1:20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N348" s="14"/>
      <c r="O348" s="14"/>
      <c r="P348" s="14"/>
      <c r="Q348" s="14"/>
      <c r="R348" s="14"/>
      <c r="S348" s="14"/>
      <c r="T348" s="14"/>
    </row>
    <row r="349" spans="1:20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N349" s="14"/>
      <c r="O349" s="14"/>
      <c r="P349" s="14"/>
      <c r="Q349" s="14"/>
      <c r="R349" s="14"/>
      <c r="S349" s="14"/>
      <c r="T349" s="14"/>
    </row>
    <row r="350" spans="1:20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N350" s="14"/>
      <c r="O350" s="14"/>
      <c r="P350" s="14"/>
      <c r="Q350" s="14"/>
      <c r="R350" s="14"/>
      <c r="S350" s="14"/>
      <c r="T350" s="14"/>
    </row>
    <row r="351" spans="1:20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N351" s="14"/>
      <c r="O351" s="14"/>
      <c r="P351" s="14"/>
      <c r="Q351" s="14"/>
      <c r="R351" s="14"/>
      <c r="S351" s="14"/>
      <c r="T351" s="14"/>
    </row>
    <row r="352" spans="1:20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N352" s="14"/>
      <c r="O352" s="14"/>
      <c r="P352" s="14"/>
      <c r="Q352" s="14"/>
      <c r="R352" s="14"/>
      <c r="S352" s="14"/>
      <c r="T352" s="14"/>
    </row>
    <row r="353" spans="1:20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N353" s="14"/>
      <c r="O353" s="14"/>
      <c r="P353" s="14"/>
      <c r="Q353" s="14"/>
      <c r="R353" s="14"/>
      <c r="S353" s="14"/>
      <c r="T353" s="14"/>
    </row>
    <row r="354" spans="1:20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N354" s="14"/>
      <c r="O354" s="14"/>
      <c r="P354" s="14"/>
      <c r="Q354" s="14"/>
      <c r="R354" s="14"/>
      <c r="S354" s="14"/>
      <c r="T354" s="14"/>
    </row>
    <row r="355" spans="1:20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N355" s="14"/>
      <c r="O355" s="14"/>
      <c r="P355" s="14"/>
      <c r="Q355" s="14"/>
      <c r="R355" s="14"/>
      <c r="S355" s="14"/>
      <c r="T355" s="14"/>
    </row>
    <row r="356" spans="1:20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N356" s="14"/>
      <c r="O356" s="14"/>
      <c r="P356" s="14"/>
      <c r="Q356" s="14"/>
      <c r="R356" s="14"/>
      <c r="S356" s="14"/>
      <c r="T356" s="14"/>
    </row>
    <row r="357" spans="1:20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N357" s="14"/>
      <c r="O357" s="14"/>
      <c r="P357" s="14"/>
      <c r="Q357" s="14"/>
      <c r="R357" s="14"/>
      <c r="S357" s="14"/>
      <c r="T357" s="14"/>
    </row>
    <row r="358" spans="1:20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N358" s="14"/>
      <c r="O358" s="14"/>
      <c r="P358" s="14"/>
      <c r="Q358" s="14"/>
      <c r="R358" s="14"/>
      <c r="S358" s="14"/>
      <c r="T358" s="14"/>
    </row>
    <row r="359" spans="1:20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N359" s="14"/>
      <c r="O359" s="14"/>
      <c r="P359" s="14"/>
      <c r="Q359" s="14"/>
      <c r="R359" s="14"/>
      <c r="S359" s="14"/>
      <c r="T359" s="14"/>
    </row>
    <row r="360" spans="1:20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N360" s="14"/>
      <c r="O360" s="14"/>
      <c r="P360" s="14"/>
      <c r="Q360" s="14"/>
      <c r="R360" s="14"/>
      <c r="S360" s="14"/>
      <c r="T360" s="14"/>
    </row>
    <row r="361" spans="1:20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N361" s="14"/>
      <c r="O361" s="14"/>
      <c r="P361" s="14"/>
      <c r="Q361" s="14"/>
      <c r="R361" s="14"/>
      <c r="S361" s="14"/>
      <c r="T361" s="14"/>
    </row>
    <row r="362" spans="1:20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N362" s="14"/>
      <c r="O362" s="14"/>
      <c r="P362" s="14"/>
      <c r="Q362" s="14"/>
      <c r="R362" s="14"/>
      <c r="S362" s="14"/>
      <c r="T362" s="14"/>
    </row>
    <row r="363" spans="1:20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N363" s="14"/>
      <c r="O363" s="14"/>
      <c r="P363" s="14"/>
      <c r="Q363" s="14"/>
      <c r="R363" s="14"/>
      <c r="S363" s="14"/>
      <c r="T363" s="14"/>
    </row>
    <row r="364" spans="1:20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N364" s="14"/>
      <c r="O364" s="14"/>
      <c r="P364" s="14"/>
      <c r="Q364" s="14"/>
      <c r="R364" s="14"/>
      <c r="S364" s="14"/>
      <c r="T364" s="14"/>
    </row>
    <row r="365" spans="1:20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N365" s="14"/>
      <c r="O365" s="14"/>
      <c r="P365" s="14"/>
      <c r="Q365" s="14"/>
      <c r="R365" s="14"/>
      <c r="S365" s="14"/>
      <c r="T365" s="14"/>
    </row>
    <row r="366" spans="1:20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N366" s="14"/>
      <c r="O366" s="14"/>
      <c r="P366" s="14"/>
      <c r="Q366" s="14"/>
      <c r="R366" s="14"/>
      <c r="S366" s="14"/>
      <c r="T366" s="14"/>
    </row>
    <row r="367" spans="1:20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N367" s="14"/>
      <c r="O367" s="14"/>
      <c r="P367" s="14"/>
      <c r="Q367" s="14"/>
      <c r="R367" s="14"/>
      <c r="S367" s="14"/>
      <c r="T367" s="14"/>
    </row>
    <row r="368" spans="1:20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N368" s="14"/>
      <c r="O368" s="14"/>
      <c r="P368" s="14"/>
      <c r="Q368" s="14"/>
      <c r="R368" s="14"/>
      <c r="S368" s="14"/>
      <c r="T368" s="14"/>
    </row>
    <row r="369" spans="1:20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N369" s="14"/>
      <c r="O369" s="14"/>
      <c r="P369" s="14"/>
      <c r="Q369" s="14"/>
      <c r="R369" s="14"/>
      <c r="S369" s="14"/>
      <c r="T369" s="14"/>
    </row>
    <row r="370" spans="1:20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N370" s="14"/>
      <c r="O370" s="14"/>
      <c r="P370" s="14"/>
      <c r="Q370" s="14"/>
      <c r="R370" s="14"/>
      <c r="S370" s="14"/>
      <c r="T370" s="14"/>
    </row>
    <row r="371" spans="1:20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N371" s="14"/>
      <c r="O371" s="14"/>
      <c r="P371" s="14"/>
      <c r="Q371" s="14"/>
      <c r="R371" s="14"/>
      <c r="S371" s="14"/>
      <c r="T371" s="14"/>
    </row>
    <row r="372" spans="1:20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N372" s="14"/>
      <c r="O372" s="14"/>
      <c r="P372" s="14"/>
      <c r="Q372" s="14"/>
      <c r="R372" s="14"/>
      <c r="S372" s="14"/>
      <c r="T372" s="14"/>
    </row>
    <row r="373" spans="1:20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N373" s="14"/>
      <c r="O373" s="14"/>
      <c r="P373" s="14"/>
      <c r="Q373" s="14"/>
      <c r="R373" s="14"/>
      <c r="S373" s="14"/>
      <c r="T373" s="14"/>
    </row>
    <row r="374" spans="1:20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N374" s="14"/>
      <c r="O374" s="14"/>
      <c r="P374" s="14"/>
      <c r="Q374" s="14"/>
      <c r="R374" s="14"/>
      <c r="S374" s="14"/>
      <c r="T374" s="14"/>
    </row>
    <row r="375" spans="1:20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N375" s="14"/>
      <c r="O375" s="14"/>
      <c r="P375" s="14"/>
      <c r="Q375" s="14"/>
      <c r="R375" s="14"/>
      <c r="S375" s="14"/>
      <c r="T375" s="14"/>
    </row>
    <row r="376" spans="1:20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N376" s="14"/>
      <c r="O376" s="14"/>
      <c r="P376" s="14"/>
      <c r="Q376" s="14"/>
      <c r="R376" s="14"/>
      <c r="S376" s="14"/>
      <c r="T376" s="14"/>
    </row>
    <row r="377" spans="1:20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N377" s="14"/>
      <c r="O377" s="14"/>
      <c r="P377" s="14"/>
      <c r="Q377" s="14"/>
      <c r="R377" s="14"/>
      <c r="S377" s="14"/>
      <c r="T377" s="14"/>
    </row>
    <row r="378" spans="1:20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N378" s="14"/>
      <c r="O378" s="14"/>
      <c r="P378" s="14"/>
      <c r="Q378" s="14"/>
      <c r="R378" s="14"/>
      <c r="S378" s="14"/>
      <c r="T378" s="14"/>
    </row>
    <row r="379" spans="1:20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N379" s="14"/>
      <c r="O379" s="14"/>
      <c r="P379" s="14"/>
      <c r="Q379" s="14"/>
      <c r="R379" s="14"/>
      <c r="S379" s="14"/>
      <c r="T379" s="14"/>
    </row>
    <row r="380" spans="1:20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N380" s="14"/>
      <c r="O380" s="14"/>
      <c r="P380" s="14"/>
      <c r="Q380" s="14"/>
      <c r="R380" s="14"/>
      <c r="S380" s="14"/>
      <c r="T380" s="14"/>
    </row>
    <row r="381" spans="1:20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N381" s="14"/>
      <c r="O381" s="14"/>
      <c r="P381" s="14"/>
      <c r="Q381" s="14"/>
      <c r="R381" s="14"/>
      <c r="S381" s="14"/>
      <c r="T381" s="14"/>
    </row>
    <row r="382" spans="1:20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N382" s="14"/>
      <c r="O382" s="14"/>
      <c r="P382" s="14"/>
      <c r="Q382" s="14"/>
      <c r="R382" s="14"/>
      <c r="S382" s="14"/>
      <c r="T382" s="14"/>
    </row>
    <row r="383" spans="1:20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N383" s="14"/>
      <c r="O383" s="14"/>
      <c r="P383" s="14"/>
      <c r="Q383" s="14"/>
      <c r="R383" s="14"/>
      <c r="S383" s="14"/>
      <c r="T383" s="14"/>
    </row>
    <row r="384" spans="1:20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N384" s="14"/>
      <c r="O384" s="14"/>
      <c r="P384" s="14"/>
      <c r="Q384" s="14"/>
      <c r="R384" s="14"/>
      <c r="S384" s="14"/>
      <c r="T384" s="14"/>
    </row>
    <row r="385" spans="1:20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N385" s="14"/>
      <c r="O385" s="14"/>
      <c r="P385" s="14"/>
      <c r="Q385" s="14"/>
      <c r="R385" s="14"/>
      <c r="S385" s="14"/>
      <c r="T385" s="14"/>
    </row>
    <row r="386" spans="1:20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N386" s="14"/>
      <c r="O386" s="14"/>
      <c r="P386" s="14"/>
      <c r="Q386" s="14"/>
      <c r="R386" s="14"/>
      <c r="S386" s="14"/>
      <c r="T386" s="14"/>
    </row>
    <row r="387" spans="1:20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N387" s="14"/>
      <c r="O387" s="14"/>
      <c r="P387" s="14"/>
      <c r="Q387" s="14"/>
      <c r="R387" s="14"/>
      <c r="S387" s="14"/>
      <c r="T387" s="14"/>
    </row>
    <row r="388" spans="1:20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N388" s="14"/>
      <c r="O388" s="14"/>
      <c r="P388" s="14"/>
      <c r="Q388" s="14"/>
      <c r="R388" s="14"/>
      <c r="S388" s="14"/>
      <c r="T388" s="14"/>
    </row>
    <row r="389" spans="1:20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N389" s="14"/>
      <c r="O389" s="14"/>
      <c r="P389" s="14"/>
      <c r="Q389" s="14"/>
      <c r="R389" s="14"/>
      <c r="S389" s="14"/>
      <c r="T389" s="14"/>
    </row>
    <row r="390" spans="1:20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N390" s="14"/>
      <c r="O390" s="14"/>
      <c r="P390" s="14"/>
      <c r="Q390" s="14"/>
      <c r="R390" s="14"/>
      <c r="S390" s="14"/>
      <c r="T390" s="14"/>
    </row>
    <row r="391" spans="1:20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N391" s="14"/>
      <c r="O391" s="14"/>
      <c r="P391" s="14"/>
      <c r="Q391" s="14"/>
      <c r="R391" s="14"/>
      <c r="S391" s="14"/>
      <c r="T391" s="14"/>
    </row>
    <row r="392" spans="1:20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N392" s="14"/>
      <c r="O392" s="14"/>
      <c r="P392" s="14"/>
      <c r="Q392" s="14"/>
      <c r="R392" s="14"/>
      <c r="S392" s="14"/>
      <c r="T392" s="14"/>
    </row>
    <row r="393" spans="1:20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N393" s="14"/>
      <c r="O393" s="14"/>
      <c r="P393" s="14"/>
      <c r="Q393" s="14"/>
      <c r="R393" s="14"/>
      <c r="S393" s="14"/>
      <c r="T393" s="14"/>
    </row>
    <row r="394" spans="1:20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N394" s="14"/>
      <c r="O394" s="14"/>
      <c r="P394" s="14"/>
      <c r="Q394" s="14"/>
      <c r="R394" s="14"/>
      <c r="S394" s="14"/>
      <c r="T394" s="14"/>
    </row>
    <row r="395" spans="1:20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N395" s="14"/>
      <c r="O395" s="14"/>
      <c r="P395" s="14"/>
      <c r="Q395" s="14"/>
      <c r="R395" s="14"/>
      <c r="S395" s="14"/>
      <c r="T395" s="14"/>
    </row>
  </sheetData>
  <printOptions horizontalCentered="1"/>
  <pageMargins left="0" right="0" top="0" bottom="0" header="0.25" footer="0.25"/>
  <pageSetup scale="50" orientation="landscape" r:id="rId1"/>
  <headerFooter>
    <oddFooter>&amp;RSchedule A-13
Page &amp;P of &amp;N</oddFoot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4C8A-26BD-4C42-8195-84F875249372}">
  <sheetPr transitionEvaluation="1" transitionEntry="1"/>
  <dimension ref="A1:IB177"/>
  <sheetViews>
    <sheetView showZeros="0" defaultGridColor="0" view="pageBreakPreview" topLeftCell="A31" colorId="22" zoomScaleNormal="80" zoomScaleSheetLayoutView="100" workbookViewId="0">
      <selection activeCell="O6" sqref="O6"/>
    </sheetView>
  </sheetViews>
  <sheetFormatPr defaultColWidth="9.77734375" defaultRowHeight="15" x14ac:dyDescent="0.2"/>
  <cols>
    <col min="1" max="1" width="21.88671875" style="18" customWidth="1"/>
    <col min="2" max="2" width="9.6640625" style="11" customWidth="1"/>
    <col min="3" max="3" width="12.6640625" style="11" customWidth="1"/>
    <col min="4" max="4" width="13.6640625" style="11" customWidth="1"/>
    <col min="5" max="5" width="13.44140625" style="11" customWidth="1"/>
    <col min="6" max="6" width="10.77734375" style="11" customWidth="1"/>
    <col min="7" max="7" width="9.6640625" style="11" customWidth="1"/>
    <col min="8" max="8" width="9.88671875" style="11" customWidth="1"/>
    <col min="9" max="9" width="10.109375" style="11" bestFit="1" customWidth="1"/>
    <col min="10" max="10" width="10.21875" style="11" customWidth="1"/>
    <col min="11" max="11" width="10" style="11" customWidth="1"/>
    <col min="12" max="13" width="11.6640625" style="11" bestFit="1" customWidth="1"/>
    <col min="14" max="14" width="8.44140625" style="11" customWidth="1"/>
    <col min="15" max="15" width="10.21875" style="11" customWidth="1"/>
    <col min="16" max="16" width="2.21875" style="11" customWidth="1"/>
    <col min="17" max="16384" width="9.77734375" style="11"/>
  </cols>
  <sheetData>
    <row r="1" spans="1:217" s="1" customFormat="1" ht="40.5" x14ac:dyDescent="0.35">
      <c r="A1" s="165" t="s">
        <v>82</v>
      </c>
      <c r="B1" s="151"/>
      <c r="C1" s="151"/>
      <c r="D1" s="151"/>
      <c r="E1" s="151"/>
      <c r="F1" s="151"/>
      <c r="G1" s="151"/>
      <c r="H1" s="151"/>
      <c r="I1" s="151"/>
      <c r="J1" s="116"/>
      <c r="K1" s="118"/>
      <c r="L1" s="118"/>
      <c r="M1" s="118"/>
      <c r="N1" s="118"/>
      <c r="O1" s="116"/>
      <c r="P1" s="3"/>
      <c r="Q1" s="3"/>
      <c r="R1" s="44"/>
      <c r="S1" s="44"/>
      <c r="T1" s="44"/>
      <c r="U1" s="44"/>
      <c r="V1" s="44"/>
      <c r="W1" s="44"/>
      <c r="X1" s="44"/>
    </row>
    <row r="2" spans="1:217" s="1" customFormat="1" ht="15.75" customHeight="1" x14ac:dyDescent="0.35">
      <c r="A2" s="119" t="s">
        <v>83</v>
      </c>
      <c r="B2" s="153"/>
      <c r="C2" s="153"/>
      <c r="D2" s="153"/>
      <c r="E2" s="153"/>
      <c r="F2" s="153"/>
      <c r="G2" s="153"/>
      <c r="H2" s="153"/>
      <c r="I2" s="153"/>
      <c r="J2" s="116"/>
      <c r="K2" s="118"/>
      <c r="L2" s="118"/>
      <c r="M2" s="118"/>
      <c r="N2" s="118"/>
      <c r="O2" s="116"/>
      <c r="P2" s="3"/>
      <c r="Q2" s="3"/>
      <c r="R2" s="44"/>
      <c r="S2" s="44"/>
      <c r="T2" s="44"/>
      <c r="U2" s="44"/>
      <c r="V2" s="44"/>
      <c r="W2" s="44"/>
      <c r="X2" s="44"/>
    </row>
    <row r="3" spans="1:217" s="1" customFormat="1" ht="17.25" customHeight="1" x14ac:dyDescent="0.35">
      <c r="A3" s="120" t="s">
        <v>84</v>
      </c>
      <c r="B3" s="116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22"/>
      <c r="Q3" s="22"/>
      <c r="T3" s="44"/>
      <c r="U3" s="44"/>
      <c r="V3" s="44"/>
      <c r="W3" s="44"/>
      <c r="X3" s="44"/>
    </row>
    <row r="4" spans="1:217" s="1" customFormat="1" ht="101.25" x14ac:dyDescent="0.35">
      <c r="A4" s="120" t="s">
        <v>85</v>
      </c>
      <c r="B4" s="116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217" s="1" customFormat="1" ht="162" x14ac:dyDescent="0.35">
      <c r="A5" s="120" t="s">
        <v>86</v>
      </c>
      <c r="B5" s="116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22"/>
      <c r="Q5" s="22"/>
    </row>
    <row r="6" spans="1:217" s="25" customFormat="1" ht="137.44999999999999" customHeight="1" x14ac:dyDescent="0.3">
      <c r="A6" s="167" t="s">
        <v>0</v>
      </c>
      <c r="B6" s="168" t="s">
        <v>263</v>
      </c>
      <c r="C6" s="169" t="s">
        <v>264</v>
      </c>
      <c r="D6" s="170" t="s">
        <v>265</v>
      </c>
      <c r="E6" s="169" t="s">
        <v>266</v>
      </c>
      <c r="F6" s="169" t="s">
        <v>267</v>
      </c>
      <c r="G6" s="169" t="s">
        <v>268</v>
      </c>
      <c r="H6" s="169" t="s">
        <v>269</v>
      </c>
      <c r="I6" s="171" t="s">
        <v>270</v>
      </c>
      <c r="J6" s="172" t="s">
        <v>87</v>
      </c>
      <c r="K6" s="173" t="s">
        <v>88</v>
      </c>
      <c r="L6" s="173" t="s">
        <v>89</v>
      </c>
      <c r="M6" s="173" t="s">
        <v>90</v>
      </c>
      <c r="N6" s="173" t="s">
        <v>271</v>
      </c>
      <c r="O6" s="171" t="s">
        <v>272</v>
      </c>
      <c r="P6" s="23"/>
      <c r="Q6" s="23"/>
    </row>
    <row r="7" spans="1:217" ht="17.649999999999999" customHeight="1" x14ac:dyDescent="0.3">
      <c r="A7" s="122" t="s">
        <v>4</v>
      </c>
      <c r="B7" s="124">
        <v>18662</v>
      </c>
      <c r="C7" s="124"/>
      <c r="D7" s="127">
        <v>0</v>
      </c>
      <c r="E7" s="124"/>
      <c r="F7" s="124">
        <v>4975</v>
      </c>
      <c r="G7" s="124"/>
      <c r="H7" s="125">
        <v>23637</v>
      </c>
      <c r="I7" s="124"/>
      <c r="J7" s="124">
        <v>51</v>
      </c>
      <c r="K7" s="124"/>
      <c r="L7" s="124">
        <v>116</v>
      </c>
      <c r="M7" s="124"/>
      <c r="N7" s="124">
        <v>167</v>
      </c>
      <c r="O7" s="124"/>
      <c r="P7" s="33"/>
      <c r="Q7" s="2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</row>
    <row r="8" spans="1:217" ht="17.649999999999999" customHeight="1" x14ac:dyDescent="0.3">
      <c r="A8" s="122" t="s">
        <v>5</v>
      </c>
      <c r="B8" s="124">
        <v>13125</v>
      </c>
      <c r="C8" s="124"/>
      <c r="D8" s="127">
        <v>0</v>
      </c>
      <c r="E8" s="124"/>
      <c r="F8" s="124">
        <v>5581</v>
      </c>
      <c r="G8" s="124"/>
      <c r="H8" s="125">
        <v>18706</v>
      </c>
      <c r="I8" s="124"/>
      <c r="J8" s="124">
        <v>45</v>
      </c>
      <c r="K8" s="124"/>
      <c r="L8" s="124">
        <v>104</v>
      </c>
      <c r="M8" s="124"/>
      <c r="N8" s="124">
        <v>149</v>
      </c>
      <c r="O8" s="124"/>
      <c r="P8" s="33"/>
      <c r="Q8" s="2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</row>
    <row r="9" spans="1:217" ht="17.649999999999999" customHeight="1" x14ac:dyDescent="0.3">
      <c r="A9" s="122" t="s">
        <v>6</v>
      </c>
      <c r="B9" s="124">
        <v>14625</v>
      </c>
      <c r="C9" s="124"/>
      <c r="D9" s="127">
        <v>0</v>
      </c>
      <c r="E9" s="124"/>
      <c r="F9" s="124">
        <v>5851</v>
      </c>
      <c r="G9" s="124"/>
      <c r="H9" s="125">
        <v>20476</v>
      </c>
      <c r="I9" s="124"/>
      <c r="J9" s="124">
        <v>68</v>
      </c>
      <c r="K9" s="124"/>
      <c r="L9" s="124">
        <v>108</v>
      </c>
      <c r="M9" s="124"/>
      <c r="N9" s="124">
        <v>176</v>
      </c>
      <c r="O9" s="124"/>
      <c r="P9" s="33"/>
      <c r="Q9" s="2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</row>
    <row r="10" spans="1:217" ht="17.649999999999999" customHeight="1" x14ac:dyDescent="0.3">
      <c r="A10" s="122" t="s">
        <v>7</v>
      </c>
      <c r="B10" s="124">
        <v>15000</v>
      </c>
      <c r="C10" s="124"/>
      <c r="D10" s="127">
        <v>0</v>
      </c>
      <c r="E10" s="124"/>
      <c r="F10" s="124">
        <v>16081</v>
      </c>
      <c r="G10" s="124"/>
      <c r="H10" s="125">
        <v>31081</v>
      </c>
      <c r="I10" s="124"/>
      <c r="J10" s="124">
        <v>47</v>
      </c>
      <c r="K10" s="124"/>
      <c r="L10" s="124">
        <v>107</v>
      </c>
      <c r="M10" s="124"/>
      <c r="N10" s="124">
        <v>154</v>
      </c>
      <c r="O10" s="124"/>
      <c r="P10" s="33"/>
      <c r="Q10" s="2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</row>
    <row r="11" spans="1:217" ht="17.649999999999999" customHeight="1" x14ac:dyDescent="0.3">
      <c r="A11" s="122" t="s">
        <v>8</v>
      </c>
      <c r="B11" s="124">
        <v>15000</v>
      </c>
      <c r="C11" s="124"/>
      <c r="D11" s="127">
        <v>0</v>
      </c>
      <c r="E11" s="124"/>
      <c r="F11" s="124">
        <v>4779</v>
      </c>
      <c r="G11" s="124"/>
      <c r="H11" s="125">
        <v>19779</v>
      </c>
      <c r="I11" s="124"/>
      <c r="J11" s="124">
        <v>27</v>
      </c>
      <c r="K11" s="124"/>
      <c r="L11" s="124">
        <v>53</v>
      </c>
      <c r="M11" s="124"/>
      <c r="N11" s="124">
        <v>80</v>
      </c>
      <c r="O11" s="124"/>
      <c r="P11" s="33"/>
      <c r="Q11" s="2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</row>
    <row r="12" spans="1:217" ht="17.649999999999999" customHeight="1" x14ac:dyDescent="0.3">
      <c r="A12" s="122" t="s">
        <v>9</v>
      </c>
      <c r="B12" s="124">
        <v>15000</v>
      </c>
      <c r="C12" s="124"/>
      <c r="D12" s="127">
        <v>0</v>
      </c>
      <c r="E12" s="124"/>
      <c r="F12" s="124">
        <v>4693</v>
      </c>
      <c r="G12" s="124"/>
      <c r="H12" s="125">
        <v>19693</v>
      </c>
      <c r="I12" s="124"/>
      <c r="J12" s="124">
        <v>30</v>
      </c>
      <c r="K12" s="124"/>
      <c r="L12" s="124">
        <v>88</v>
      </c>
      <c r="M12" s="124"/>
      <c r="N12" s="124">
        <v>118</v>
      </c>
      <c r="O12" s="124"/>
      <c r="P12" s="33"/>
      <c r="Q12" s="2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217" ht="17.649999999999999" customHeight="1" x14ac:dyDescent="0.3">
      <c r="A13" s="122" t="s">
        <v>10</v>
      </c>
      <c r="B13" s="124">
        <v>15000</v>
      </c>
      <c r="C13" s="124"/>
      <c r="D13" s="127">
        <v>0</v>
      </c>
      <c r="E13" s="124"/>
      <c r="F13" s="124">
        <v>2646</v>
      </c>
      <c r="G13" s="124"/>
      <c r="H13" s="125">
        <v>17646</v>
      </c>
      <c r="I13" s="124"/>
      <c r="J13" s="124">
        <v>40</v>
      </c>
      <c r="K13" s="124"/>
      <c r="L13" s="124">
        <v>126</v>
      </c>
      <c r="M13" s="124"/>
      <c r="N13" s="124">
        <v>166</v>
      </c>
      <c r="O13" s="124"/>
      <c r="P13" s="33"/>
      <c r="Q13" s="2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</row>
    <row r="14" spans="1:217" ht="17.649999999999999" customHeight="1" x14ac:dyDescent="0.3">
      <c r="A14" s="122" t="s">
        <v>11</v>
      </c>
      <c r="B14" s="124">
        <v>13750</v>
      </c>
      <c r="C14" s="124"/>
      <c r="D14" s="127">
        <v>0</v>
      </c>
      <c r="E14" s="124"/>
      <c r="F14" s="124">
        <v>22908</v>
      </c>
      <c r="G14" s="124"/>
      <c r="H14" s="125">
        <v>36658</v>
      </c>
      <c r="I14" s="124"/>
      <c r="J14" s="124">
        <v>38</v>
      </c>
      <c r="K14" s="124"/>
      <c r="L14" s="124">
        <v>154</v>
      </c>
      <c r="M14" s="124"/>
      <c r="N14" s="124">
        <v>192</v>
      </c>
      <c r="O14" s="124"/>
      <c r="P14" s="33"/>
      <c r="Q14" s="2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</row>
    <row r="15" spans="1:217" ht="17.649999999999999" customHeight="1" x14ac:dyDescent="0.3">
      <c r="A15" s="122" t="s">
        <v>12</v>
      </c>
      <c r="B15" s="124">
        <v>16250</v>
      </c>
      <c r="C15" s="124"/>
      <c r="D15" s="127">
        <v>0</v>
      </c>
      <c r="E15" s="124"/>
      <c r="F15" s="124">
        <v>11033</v>
      </c>
      <c r="G15" s="124"/>
      <c r="H15" s="125">
        <v>27283</v>
      </c>
      <c r="I15" s="124"/>
      <c r="J15" s="124">
        <v>191</v>
      </c>
      <c r="K15" s="124"/>
      <c r="L15" s="124">
        <v>83</v>
      </c>
      <c r="M15" s="124"/>
      <c r="N15" s="124">
        <v>274</v>
      </c>
      <c r="O15" s="124"/>
      <c r="P15" s="33"/>
      <c r="Q15" s="2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</row>
    <row r="16" spans="1:217" ht="17.649999999999999" customHeight="1" x14ac:dyDescent="0.3">
      <c r="A16" s="122" t="s">
        <v>13</v>
      </c>
      <c r="B16" s="124">
        <v>15000</v>
      </c>
      <c r="C16" s="124"/>
      <c r="D16" s="127">
        <v>0</v>
      </c>
      <c r="E16" s="124"/>
      <c r="F16" s="124">
        <v>5829</v>
      </c>
      <c r="G16" s="124"/>
      <c r="H16" s="125">
        <v>20829</v>
      </c>
      <c r="I16" s="124"/>
      <c r="J16" s="124">
        <v>46</v>
      </c>
      <c r="K16" s="124"/>
      <c r="L16" s="124">
        <v>125</v>
      </c>
      <c r="M16" s="124"/>
      <c r="N16" s="124">
        <v>171</v>
      </c>
      <c r="O16" s="124"/>
      <c r="P16" s="33"/>
      <c r="Q16" s="2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</row>
    <row r="17" spans="1:217" ht="17.649999999999999" customHeight="1" x14ac:dyDescent="0.3">
      <c r="A17" s="122" t="s">
        <v>14</v>
      </c>
      <c r="B17" s="124">
        <v>21875</v>
      </c>
      <c r="C17" s="124"/>
      <c r="D17" s="127">
        <v>0</v>
      </c>
      <c r="E17" s="124"/>
      <c r="F17" s="124">
        <v>3600</v>
      </c>
      <c r="G17" s="124"/>
      <c r="H17" s="125">
        <v>25475</v>
      </c>
      <c r="I17" s="124"/>
      <c r="J17" s="124">
        <v>275</v>
      </c>
      <c r="K17" s="124"/>
      <c r="L17" s="124">
        <v>83</v>
      </c>
      <c r="M17" s="124"/>
      <c r="N17" s="124">
        <v>358</v>
      </c>
      <c r="O17" s="124"/>
      <c r="P17" s="33"/>
      <c r="Q17" s="2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</row>
    <row r="18" spans="1:217" ht="17.649999999999999" customHeight="1" x14ac:dyDescent="0.3">
      <c r="A18" s="122" t="s">
        <v>15</v>
      </c>
      <c r="B18" s="124">
        <v>29375</v>
      </c>
      <c r="C18" s="124"/>
      <c r="D18" s="127">
        <v>0</v>
      </c>
      <c r="E18" s="124"/>
      <c r="F18" s="124">
        <v>3564</v>
      </c>
      <c r="G18" s="124"/>
      <c r="H18" s="125">
        <v>32939</v>
      </c>
      <c r="I18" s="124"/>
      <c r="J18" s="124">
        <v>235</v>
      </c>
      <c r="K18" s="124"/>
      <c r="L18" s="124">
        <v>163</v>
      </c>
      <c r="M18" s="124"/>
      <c r="N18" s="124">
        <v>398</v>
      </c>
      <c r="O18" s="124"/>
      <c r="P18" s="33"/>
      <c r="Q18" s="2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</row>
    <row r="19" spans="1:217" ht="17.649999999999999" customHeight="1" x14ac:dyDescent="0.3">
      <c r="A19" s="122" t="s">
        <v>16</v>
      </c>
      <c r="B19" s="124">
        <v>32500</v>
      </c>
      <c r="C19" s="124"/>
      <c r="D19" s="127">
        <v>0</v>
      </c>
      <c r="E19" s="124"/>
      <c r="F19" s="124">
        <v>1673</v>
      </c>
      <c r="G19" s="124"/>
      <c r="H19" s="125">
        <v>34173</v>
      </c>
      <c r="I19" s="124"/>
      <c r="J19" s="124">
        <v>79</v>
      </c>
      <c r="K19" s="124"/>
      <c r="L19" s="124">
        <v>216</v>
      </c>
      <c r="M19" s="124"/>
      <c r="N19" s="124">
        <v>295</v>
      </c>
      <c r="O19" s="124"/>
      <c r="P19" s="33"/>
      <c r="Q19" s="2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</row>
    <row r="20" spans="1:217" ht="17.649999999999999" customHeight="1" x14ac:dyDescent="0.3">
      <c r="A20" s="122" t="s">
        <v>17</v>
      </c>
      <c r="B20" s="124">
        <v>46250</v>
      </c>
      <c r="C20" s="124"/>
      <c r="D20" s="127">
        <v>0</v>
      </c>
      <c r="E20" s="124"/>
      <c r="F20" s="124">
        <v>1727</v>
      </c>
      <c r="G20" s="124"/>
      <c r="H20" s="125">
        <v>47977</v>
      </c>
      <c r="I20" s="124"/>
      <c r="J20" s="124">
        <v>175</v>
      </c>
      <c r="K20" s="124"/>
      <c r="L20" s="124">
        <v>112</v>
      </c>
      <c r="M20" s="124"/>
      <c r="N20" s="124">
        <v>287</v>
      </c>
      <c r="O20" s="124"/>
      <c r="P20" s="33"/>
      <c r="Q20" s="2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</row>
    <row r="21" spans="1:217" ht="17.649999999999999" customHeight="1" x14ac:dyDescent="0.3">
      <c r="A21" s="122" t="s">
        <v>18</v>
      </c>
      <c r="B21" s="124">
        <v>11250</v>
      </c>
      <c r="C21" s="124"/>
      <c r="D21" s="127">
        <v>0</v>
      </c>
      <c r="E21" s="124"/>
      <c r="F21" s="124">
        <v>2343</v>
      </c>
      <c r="G21" s="124"/>
      <c r="H21" s="125">
        <v>13593</v>
      </c>
      <c r="I21" s="124"/>
      <c r="J21" s="124">
        <v>206</v>
      </c>
      <c r="K21" s="124"/>
      <c r="L21" s="124">
        <v>117</v>
      </c>
      <c r="M21" s="124">
        <v>0</v>
      </c>
      <c r="N21" s="124">
        <v>323</v>
      </c>
      <c r="O21" s="124"/>
      <c r="P21" s="33"/>
      <c r="Q21" s="2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</row>
    <row r="22" spans="1:217" ht="17.649999999999999" customHeight="1" x14ac:dyDescent="0.3">
      <c r="A22" s="122" t="s">
        <v>19</v>
      </c>
      <c r="B22" s="125">
        <v>55000</v>
      </c>
      <c r="C22" s="125"/>
      <c r="D22" s="157">
        <v>0</v>
      </c>
      <c r="E22" s="125"/>
      <c r="F22" s="125">
        <v>3228</v>
      </c>
      <c r="G22" s="125"/>
      <c r="H22" s="125">
        <v>58228</v>
      </c>
      <c r="I22" s="125"/>
      <c r="J22" s="124">
        <v>49</v>
      </c>
      <c r="K22" s="124"/>
      <c r="L22" s="124">
        <v>162</v>
      </c>
      <c r="M22" s="124">
        <v>0</v>
      </c>
      <c r="N22" s="124">
        <v>211</v>
      </c>
      <c r="O22" s="124"/>
      <c r="P22" s="33"/>
      <c r="Q22" s="2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</row>
    <row r="23" spans="1:217" ht="17.649999999999999" customHeight="1" x14ac:dyDescent="0.3">
      <c r="A23" s="122" t="s">
        <v>20</v>
      </c>
      <c r="B23" s="124">
        <v>60000</v>
      </c>
      <c r="C23" s="124"/>
      <c r="D23" s="128">
        <v>0</v>
      </c>
      <c r="E23" s="124"/>
      <c r="F23" s="124">
        <v>1849</v>
      </c>
      <c r="G23" s="124"/>
      <c r="H23" s="125">
        <v>61849</v>
      </c>
      <c r="I23" s="124"/>
      <c r="J23" s="124">
        <v>52</v>
      </c>
      <c r="K23" s="124"/>
      <c r="L23" s="124">
        <v>136</v>
      </c>
      <c r="M23" s="124">
        <v>0</v>
      </c>
      <c r="N23" s="124">
        <v>188</v>
      </c>
      <c r="O23" s="124"/>
      <c r="P23" s="33"/>
      <c r="Q23" s="2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</row>
    <row r="24" spans="1:217" ht="17.649999999999999" customHeight="1" x14ac:dyDescent="0.3">
      <c r="A24" s="122" t="s">
        <v>21</v>
      </c>
      <c r="B24" s="124">
        <v>67500</v>
      </c>
      <c r="C24" s="124"/>
      <c r="D24" s="128">
        <v>0</v>
      </c>
      <c r="E24" s="124"/>
      <c r="F24" s="124">
        <v>14056</v>
      </c>
      <c r="G24" s="124"/>
      <c r="H24" s="125">
        <v>81556</v>
      </c>
      <c r="I24" s="124"/>
      <c r="J24" s="124">
        <v>44</v>
      </c>
      <c r="K24" s="124"/>
      <c r="L24" s="124">
        <v>120</v>
      </c>
      <c r="M24" s="124">
        <v>0</v>
      </c>
      <c r="N24" s="124">
        <v>164</v>
      </c>
      <c r="O24" s="124"/>
      <c r="P24" s="33"/>
      <c r="Q24" s="22"/>
      <c r="R24" s="1"/>
      <c r="S24" s="1"/>
      <c r="T24" s="1"/>
      <c r="U24" s="1"/>
      <c r="V24" s="1"/>
      <c r="W24" s="31"/>
      <c r="X24" s="31"/>
      <c r="Y24" s="31"/>
      <c r="Z24" s="31"/>
      <c r="AA24" s="31"/>
      <c r="AB24" s="31"/>
      <c r="AC24" s="3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</row>
    <row r="25" spans="1:217" ht="17.649999999999999" customHeight="1" x14ac:dyDescent="0.3">
      <c r="A25" s="122" t="s">
        <v>22</v>
      </c>
      <c r="B25" s="124">
        <v>70000</v>
      </c>
      <c r="C25" s="124"/>
      <c r="D25" s="128">
        <v>0</v>
      </c>
      <c r="E25" s="124"/>
      <c r="F25" s="124">
        <v>21062</v>
      </c>
      <c r="G25" s="124"/>
      <c r="H25" s="125">
        <v>91062</v>
      </c>
      <c r="I25" s="124" t="s">
        <v>23</v>
      </c>
      <c r="J25" s="124">
        <v>43</v>
      </c>
      <c r="K25" s="124"/>
      <c r="L25" s="124">
        <v>137</v>
      </c>
      <c r="M25" s="124" t="s">
        <v>23</v>
      </c>
      <c r="N25" s="124">
        <v>180</v>
      </c>
      <c r="O25" s="125" t="s">
        <v>23</v>
      </c>
      <c r="P25" s="33"/>
      <c r="Q25" s="2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</row>
    <row r="26" spans="1:217" ht="17.649999999999999" customHeight="1" x14ac:dyDescent="0.3">
      <c r="A26" s="122" t="s">
        <v>24</v>
      </c>
      <c r="B26" s="124">
        <v>82500</v>
      </c>
      <c r="C26" s="124"/>
      <c r="D26" s="128">
        <v>0</v>
      </c>
      <c r="E26" s="124"/>
      <c r="F26" s="124">
        <v>11496</v>
      </c>
      <c r="G26" s="124"/>
      <c r="H26" s="125">
        <v>93996</v>
      </c>
      <c r="I26" s="124"/>
      <c r="J26" s="124">
        <v>50</v>
      </c>
      <c r="K26" s="124"/>
      <c r="L26" s="124">
        <v>149</v>
      </c>
      <c r="M26" s="124"/>
      <c r="N26" s="124">
        <v>199</v>
      </c>
      <c r="O26" s="124"/>
      <c r="P26" s="33"/>
      <c r="Q26" s="2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</row>
    <row r="27" spans="1:217" ht="17.649999999999999" customHeight="1" x14ac:dyDescent="0.3">
      <c r="A27" s="122" t="s">
        <v>25</v>
      </c>
      <c r="B27" s="124">
        <v>135825</v>
      </c>
      <c r="C27" s="124"/>
      <c r="D27" s="128">
        <v>0</v>
      </c>
      <c r="E27" s="124"/>
      <c r="F27" s="124">
        <v>19573</v>
      </c>
      <c r="G27" s="124"/>
      <c r="H27" s="125">
        <v>155398</v>
      </c>
      <c r="I27" s="124"/>
      <c r="J27" s="124">
        <v>154</v>
      </c>
      <c r="K27" s="124"/>
      <c r="L27" s="124">
        <v>147</v>
      </c>
      <c r="M27" s="124"/>
      <c r="N27" s="124">
        <v>301</v>
      </c>
      <c r="O27" s="124"/>
      <c r="P27" s="33"/>
      <c r="Q27" s="2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</row>
    <row r="28" spans="1:217" ht="17.649999999999999" customHeight="1" x14ac:dyDescent="0.3">
      <c r="A28" s="129">
        <v>2002</v>
      </c>
      <c r="B28" s="128">
        <v>0</v>
      </c>
      <c r="C28" s="124"/>
      <c r="D28" s="128">
        <v>0</v>
      </c>
      <c r="E28" s="124"/>
      <c r="F28" s="124">
        <v>32973</v>
      </c>
      <c r="G28" s="124"/>
      <c r="H28" s="125">
        <v>32973</v>
      </c>
      <c r="I28" s="124"/>
      <c r="J28" s="124">
        <v>155</v>
      </c>
      <c r="K28" s="124"/>
      <c r="L28" s="124">
        <v>159</v>
      </c>
      <c r="M28" s="124"/>
      <c r="N28" s="124">
        <v>314</v>
      </c>
      <c r="O28" s="124"/>
      <c r="P28" s="33"/>
      <c r="Q28" s="2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</row>
    <row r="29" spans="1:217" ht="17.649999999999999" customHeight="1" x14ac:dyDescent="0.3">
      <c r="A29" s="129" t="s">
        <v>26</v>
      </c>
      <c r="B29" s="128">
        <v>0</v>
      </c>
      <c r="C29" s="124"/>
      <c r="D29" s="128">
        <v>0</v>
      </c>
      <c r="E29" s="124"/>
      <c r="F29" s="124">
        <v>32715</v>
      </c>
      <c r="G29" s="124"/>
      <c r="H29" s="125">
        <v>32715</v>
      </c>
      <c r="I29" s="124"/>
      <c r="J29" s="124">
        <v>54</v>
      </c>
      <c r="K29" s="124"/>
      <c r="L29" s="124">
        <v>143</v>
      </c>
      <c r="M29" s="124"/>
      <c r="N29" s="124">
        <v>197</v>
      </c>
      <c r="O29" s="124"/>
      <c r="P29" s="33"/>
      <c r="Q29" s="22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</row>
    <row r="30" spans="1:217" ht="17.649999999999999" customHeight="1" x14ac:dyDescent="0.3">
      <c r="A30" s="129">
        <v>2004</v>
      </c>
      <c r="B30" s="128">
        <v>0</v>
      </c>
      <c r="C30" s="124"/>
      <c r="D30" s="128">
        <v>0</v>
      </c>
      <c r="E30" s="124"/>
      <c r="F30" s="124">
        <v>49527</v>
      </c>
      <c r="G30" s="124"/>
      <c r="H30" s="125">
        <v>49527</v>
      </c>
      <c r="I30" s="124"/>
      <c r="J30" s="124">
        <v>157</v>
      </c>
      <c r="K30" s="124"/>
      <c r="L30" s="124">
        <v>157</v>
      </c>
      <c r="M30" s="124"/>
      <c r="N30" s="124">
        <v>314</v>
      </c>
      <c r="O30" s="124"/>
      <c r="P30" s="33"/>
      <c r="Q30" s="22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</row>
    <row r="31" spans="1:217" ht="17.649999999999999" customHeight="1" x14ac:dyDescent="0.3">
      <c r="A31" s="129">
        <v>2005</v>
      </c>
      <c r="B31" s="128">
        <v>0</v>
      </c>
      <c r="C31" s="124"/>
      <c r="D31" s="128">
        <v>0</v>
      </c>
      <c r="E31" s="124"/>
      <c r="F31" s="124">
        <v>56407</v>
      </c>
      <c r="G31" s="124"/>
      <c r="H31" s="125">
        <v>56407</v>
      </c>
      <c r="I31" s="124"/>
      <c r="J31" s="124">
        <v>46</v>
      </c>
      <c r="K31" s="124"/>
      <c r="L31" s="124">
        <v>134</v>
      </c>
      <c r="M31" s="124"/>
      <c r="N31" s="124">
        <v>180</v>
      </c>
      <c r="O31" s="124"/>
      <c r="P31" s="33"/>
      <c r="Q31" s="2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</row>
    <row r="32" spans="1:217" ht="17.649999999999999" customHeight="1" x14ac:dyDescent="0.3">
      <c r="A32" s="129">
        <v>2006</v>
      </c>
      <c r="B32" s="128">
        <v>0</v>
      </c>
      <c r="C32" s="124"/>
      <c r="D32" s="128">
        <v>0</v>
      </c>
      <c r="E32" s="124"/>
      <c r="F32" s="124">
        <v>57456</v>
      </c>
      <c r="G32" s="124"/>
      <c r="H32" s="125">
        <v>57456</v>
      </c>
      <c r="I32" s="124"/>
      <c r="J32" s="124">
        <v>41</v>
      </c>
      <c r="K32" s="124"/>
      <c r="L32" s="124">
        <v>141</v>
      </c>
      <c r="M32" s="124"/>
      <c r="N32" s="124">
        <v>182</v>
      </c>
      <c r="O32" s="124"/>
      <c r="P32" s="33"/>
      <c r="Q32" s="22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</row>
    <row r="33" spans="1:217" ht="16.5" customHeight="1" x14ac:dyDescent="0.3">
      <c r="A33" s="129">
        <v>2007</v>
      </c>
      <c r="B33" s="128">
        <v>0</v>
      </c>
      <c r="C33" s="124"/>
      <c r="D33" s="128">
        <v>0</v>
      </c>
      <c r="E33" s="124"/>
      <c r="F33" s="124">
        <v>49792</v>
      </c>
      <c r="G33" s="124"/>
      <c r="H33" s="125">
        <v>49792</v>
      </c>
      <c r="I33" s="124"/>
      <c r="J33" s="124">
        <v>39</v>
      </c>
      <c r="K33" s="124"/>
      <c r="L33" s="124">
        <v>139</v>
      </c>
      <c r="M33" s="124"/>
      <c r="N33" s="124">
        <v>178</v>
      </c>
      <c r="O33" s="124"/>
      <c r="P33" s="33"/>
      <c r="Q33" s="2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</row>
    <row r="34" spans="1:217" ht="15" customHeight="1" x14ac:dyDescent="0.3">
      <c r="A34" s="122" t="s">
        <v>28</v>
      </c>
      <c r="B34" s="124">
        <v>1</v>
      </c>
      <c r="C34" s="124"/>
      <c r="D34" s="128">
        <v>0</v>
      </c>
      <c r="E34" s="124"/>
      <c r="F34" s="124">
        <v>21615</v>
      </c>
      <c r="G34" s="124"/>
      <c r="H34" s="125">
        <v>21616</v>
      </c>
      <c r="I34" s="124"/>
      <c r="J34" s="124">
        <v>39</v>
      </c>
      <c r="K34" s="124"/>
      <c r="L34" s="124">
        <v>113</v>
      </c>
      <c r="M34" s="124"/>
      <c r="N34" s="124">
        <v>152</v>
      </c>
      <c r="O34" s="124"/>
      <c r="P34" s="33"/>
      <c r="Q34" s="2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</row>
    <row r="35" spans="1:217" ht="17.649999999999999" customHeight="1" x14ac:dyDescent="0.3">
      <c r="A35" s="122" t="s">
        <v>29</v>
      </c>
      <c r="B35" s="128">
        <v>0</v>
      </c>
      <c r="C35" s="124"/>
      <c r="D35" s="128">
        <v>0</v>
      </c>
      <c r="E35" s="124"/>
      <c r="F35" s="124">
        <v>30284</v>
      </c>
      <c r="G35" s="124"/>
      <c r="H35" s="125">
        <v>30284</v>
      </c>
      <c r="I35" s="124"/>
      <c r="J35" s="124">
        <v>35</v>
      </c>
      <c r="K35" s="124"/>
      <c r="L35" s="124">
        <v>141</v>
      </c>
      <c r="M35" s="124"/>
      <c r="N35" s="124">
        <v>176</v>
      </c>
      <c r="O35" s="124"/>
      <c r="P35" s="33"/>
      <c r="Q35" s="22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</row>
    <row r="36" spans="1:217" ht="17.649999999999999" customHeight="1" x14ac:dyDescent="0.3">
      <c r="A36" s="131" t="s">
        <v>30</v>
      </c>
      <c r="B36" s="124">
        <v>1019</v>
      </c>
      <c r="C36" s="124"/>
      <c r="D36" s="128">
        <v>0</v>
      </c>
      <c r="E36" s="124"/>
      <c r="F36" s="124">
        <v>15522</v>
      </c>
      <c r="G36" s="124"/>
      <c r="H36" s="125">
        <v>16541</v>
      </c>
      <c r="I36" s="124"/>
      <c r="J36" s="124">
        <v>30</v>
      </c>
      <c r="K36" s="124"/>
      <c r="L36" s="124">
        <v>126</v>
      </c>
      <c r="M36" s="124"/>
      <c r="N36" s="124">
        <v>156</v>
      </c>
      <c r="O36" s="124"/>
      <c r="P36" s="33"/>
      <c r="Q36" s="22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</row>
    <row r="37" spans="1:217" ht="17.649999999999999" customHeight="1" x14ac:dyDescent="0.3">
      <c r="A37" s="131" t="s">
        <v>31</v>
      </c>
      <c r="B37" s="124">
        <v>1049</v>
      </c>
      <c r="C37" s="124"/>
      <c r="D37" s="128">
        <v>0</v>
      </c>
      <c r="E37" s="124"/>
      <c r="F37" s="124">
        <v>29649</v>
      </c>
      <c r="G37" s="124"/>
      <c r="H37" s="125">
        <v>30698</v>
      </c>
      <c r="I37" s="124"/>
      <c r="J37" s="124">
        <v>23</v>
      </c>
      <c r="K37" s="124"/>
      <c r="L37" s="124">
        <v>121</v>
      </c>
      <c r="M37" s="124"/>
      <c r="N37" s="124">
        <v>144</v>
      </c>
      <c r="O37" s="124"/>
      <c r="P37" s="33"/>
      <c r="Q37" s="2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</row>
    <row r="38" spans="1:217" ht="15" customHeight="1" x14ac:dyDescent="0.3">
      <c r="A38" s="131" t="s">
        <v>32</v>
      </c>
      <c r="B38" s="128">
        <v>0</v>
      </c>
      <c r="C38" s="124"/>
      <c r="D38" s="128">
        <v>0</v>
      </c>
      <c r="E38" s="124"/>
      <c r="F38" s="124">
        <v>29484</v>
      </c>
      <c r="G38" s="124"/>
      <c r="H38" s="125">
        <v>29484</v>
      </c>
      <c r="I38" s="124"/>
      <c r="J38" s="124">
        <v>22</v>
      </c>
      <c r="K38" s="124"/>
      <c r="L38" s="124">
        <v>136</v>
      </c>
      <c r="M38" s="124"/>
      <c r="N38" s="124">
        <v>158</v>
      </c>
      <c r="O38" s="124"/>
      <c r="P38" s="33"/>
      <c r="Q38" s="22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</row>
    <row r="39" spans="1:217" ht="16.5" customHeight="1" x14ac:dyDescent="0.3">
      <c r="A39" s="131" t="s">
        <v>33</v>
      </c>
      <c r="B39" s="128">
        <v>0</v>
      </c>
      <c r="C39" s="124"/>
      <c r="D39" s="128">
        <v>0</v>
      </c>
      <c r="E39" s="124"/>
      <c r="F39" s="124">
        <v>24888</v>
      </c>
      <c r="G39" s="124"/>
      <c r="H39" s="125">
        <v>24888</v>
      </c>
      <c r="I39" s="124"/>
      <c r="J39" s="124">
        <v>28</v>
      </c>
      <c r="K39" s="124"/>
      <c r="L39" s="124">
        <v>73</v>
      </c>
      <c r="M39" s="124"/>
      <c r="N39" s="124">
        <v>101</v>
      </c>
      <c r="O39" s="124"/>
      <c r="P39" s="33"/>
      <c r="Q39" s="22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</row>
    <row r="40" spans="1:217" ht="16.5" customHeight="1" x14ac:dyDescent="0.3">
      <c r="A40" s="122" t="s">
        <v>34</v>
      </c>
      <c r="B40" s="124">
        <v>18644</v>
      </c>
      <c r="C40" s="124"/>
      <c r="D40" s="128">
        <v>0</v>
      </c>
      <c r="E40" s="124"/>
      <c r="F40" s="128">
        <v>0</v>
      </c>
      <c r="G40" s="124"/>
      <c r="H40" s="125">
        <v>18644</v>
      </c>
      <c r="I40" s="124"/>
      <c r="J40" s="124">
        <v>35</v>
      </c>
      <c r="K40" s="124"/>
      <c r="L40" s="124">
        <v>54</v>
      </c>
      <c r="M40" s="124"/>
      <c r="N40" s="124">
        <v>89</v>
      </c>
      <c r="O40" s="124"/>
      <c r="P40" s="33"/>
      <c r="Q40" s="22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</row>
    <row r="41" spans="1:217" ht="16.5" customHeight="1" x14ac:dyDescent="0.3">
      <c r="A41" s="129">
        <v>2015</v>
      </c>
      <c r="B41" s="124">
        <v>33250</v>
      </c>
      <c r="C41" s="124"/>
      <c r="D41" s="128">
        <v>0</v>
      </c>
      <c r="E41" s="124"/>
      <c r="F41" s="128">
        <v>0</v>
      </c>
      <c r="G41" s="124"/>
      <c r="H41" s="125">
        <v>33250</v>
      </c>
      <c r="I41" s="124"/>
      <c r="J41" s="124">
        <v>37</v>
      </c>
      <c r="K41" s="124"/>
      <c r="L41" s="124">
        <v>102</v>
      </c>
      <c r="M41" s="124"/>
      <c r="N41" s="124">
        <v>139</v>
      </c>
      <c r="O41" s="124"/>
      <c r="P41" s="9"/>
      <c r="Q41" s="14"/>
    </row>
    <row r="42" spans="1:217" ht="17.649999999999999" customHeight="1" x14ac:dyDescent="0.3">
      <c r="A42" s="122" t="s">
        <v>36</v>
      </c>
      <c r="B42" s="124">
        <v>13268</v>
      </c>
      <c r="C42" s="124" t="s">
        <v>91</v>
      </c>
      <c r="D42" s="128">
        <v>0</v>
      </c>
      <c r="E42" s="124">
        <v>0</v>
      </c>
      <c r="F42" s="128">
        <v>0</v>
      </c>
      <c r="G42" s="124"/>
      <c r="H42" s="124">
        <v>13268</v>
      </c>
      <c r="I42" s="124"/>
      <c r="J42" s="124">
        <v>24</v>
      </c>
      <c r="K42" s="124">
        <v>0</v>
      </c>
      <c r="L42" s="124">
        <v>104</v>
      </c>
      <c r="M42" s="124">
        <v>0</v>
      </c>
      <c r="N42" s="124">
        <v>128</v>
      </c>
      <c r="O42" s="124">
        <v>0</v>
      </c>
      <c r="P42" s="9"/>
      <c r="Q42" s="14"/>
    </row>
    <row r="43" spans="1:217" ht="17.649999999999999" customHeight="1" x14ac:dyDescent="0.3">
      <c r="A43" s="122" t="s">
        <v>37</v>
      </c>
      <c r="B43" s="124">
        <v>0</v>
      </c>
      <c r="C43" s="124">
        <v>0</v>
      </c>
      <c r="D43" s="128">
        <v>0</v>
      </c>
      <c r="E43" s="124"/>
      <c r="F43" s="128">
        <v>0</v>
      </c>
      <c r="G43" s="124"/>
      <c r="H43" s="124">
        <v>0</v>
      </c>
      <c r="I43" s="124"/>
      <c r="J43" s="124">
        <v>36</v>
      </c>
      <c r="K43" s="124"/>
      <c r="L43" s="124">
        <v>109</v>
      </c>
      <c r="M43" s="124"/>
      <c r="N43" s="124">
        <v>145</v>
      </c>
      <c r="O43" s="124"/>
      <c r="P43" s="9"/>
      <c r="Q43" s="14"/>
    </row>
    <row r="44" spans="1:217" ht="17.649999999999999" customHeight="1" x14ac:dyDescent="0.3">
      <c r="A44" s="122" t="s">
        <v>38</v>
      </c>
      <c r="B44" s="124">
        <v>0</v>
      </c>
      <c r="C44" s="124">
        <v>0</v>
      </c>
      <c r="D44" s="166">
        <v>7000</v>
      </c>
      <c r="E44" s="124"/>
      <c r="F44" s="128">
        <v>0</v>
      </c>
      <c r="G44" s="124"/>
      <c r="H44" s="124">
        <v>7000</v>
      </c>
      <c r="I44" s="124"/>
      <c r="J44" s="124">
        <v>300</v>
      </c>
      <c r="K44" s="124"/>
      <c r="L44" s="124">
        <v>125</v>
      </c>
      <c r="M44" s="124"/>
      <c r="N44" s="124">
        <v>425</v>
      </c>
      <c r="O44" s="124"/>
      <c r="P44" s="9"/>
      <c r="Q44" s="14"/>
    </row>
    <row r="45" spans="1:217" ht="17.649999999999999" customHeight="1" x14ac:dyDescent="0.3">
      <c r="A45" s="122" t="s">
        <v>39</v>
      </c>
      <c r="B45" s="124">
        <v>0</v>
      </c>
      <c r="C45" s="124"/>
      <c r="D45" s="166">
        <v>11200</v>
      </c>
      <c r="E45" s="124"/>
      <c r="F45" s="166">
        <v>2973</v>
      </c>
      <c r="G45" s="124"/>
      <c r="H45" s="124">
        <v>14173</v>
      </c>
      <c r="I45" s="124"/>
      <c r="J45" s="124">
        <v>24</v>
      </c>
      <c r="K45" s="124"/>
      <c r="L45" s="124">
        <v>129</v>
      </c>
      <c r="M45" s="124"/>
      <c r="N45" s="124">
        <v>153</v>
      </c>
      <c r="O45" s="124"/>
      <c r="P45" s="9"/>
      <c r="Q45" s="14"/>
    </row>
    <row r="46" spans="1:217" ht="17.649999999999999" customHeight="1" x14ac:dyDescent="0.3">
      <c r="A46" s="122" t="s">
        <v>40</v>
      </c>
      <c r="B46" s="124">
        <v>0</v>
      </c>
      <c r="C46" s="124"/>
      <c r="D46" s="166">
        <v>4950</v>
      </c>
      <c r="E46" s="124"/>
      <c r="F46" s="166">
        <v>5541</v>
      </c>
      <c r="G46" s="124"/>
      <c r="H46" s="124">
        <v>10491</v>
      </c>
      <c r="I46" s="124"/>
      <c r="J46" s="124">
        <v>31</v>
      </c>
      <c r="K46" s="124"/>
      <c r="L46" s="124">
        <v>123</v>
      </c>
      <c r="M46" s="124"/>
      <c r="N46" s="124">
        <v>154</v>
      </c>
      <c r="O46" s="124"/>
      <c r="P46" s="9"/>
      <c r="Q46" s="14"/>
    </row>
    <row r="47" spans="1:217" ht="17.649999999999999" customHeight="1" x14ac:dyDescent="0.3">
      <c r="A47" s="122" t="s">
        <v>41</v>
      </c>
      <c r="B47" s="124">
        <v>0</v>
      </c>
      <c r="C47" s="124"/>
      <c r="D47" s="124">
        <v>3879</v>
      </c>
      <c r="E47" s="124"/>
      <c r="F47" s="124">
        <v>5252</v>
      </c>
      <c r="G47" s="124"/>
      <c r="H47" s="124">
        <v>9131</v>
      </c>
      <c r="I47" s="124"/>
      <c r="J47" s="124">
        <v>35</v>
      </c>
      <c r="K47" s="124"/>
      <c r="L47" s="124">
        <v>12</v>
      </c>
      <c r="M47" s="124"/>
      <c r="N47" s="124">
        <v>47</v>
      </c>
      <c r="O47" s="124"/>
      <c r="P47" s="9"/>
      <c r="Q47" s="14"/>
    </row>
    <row r="48" spans="1:217" ht="17.649999999999999" customHeight="1" x14ac:dyDescent="0.3">
      <c r="A48" s="122" t="s">
        <v>42</v>
      </c>
      <c r="B48" s="124">
        <v>6645.4285714285716</v>
      </c>
      <c r="C48" s="124"/>
      <c r="D48" s="124">
        <v>0</v>
      </c>
      <c r="E48" s="124"/>
      <c r="F48" s="124">
        <v>0</v>
      </c>
      <c r="G48" s="124"/>
      <c r="H48" s="124">
        <v>6645.4285714285716</v>
      </c>
      <c r="I48" s="124"/>
      <c r="J48" s="124">
        <v>69.571428571428569</v>
      </c>
      <c r="K48" s="124"/>
      <c r="L48" s="124">
        <v>100.57142857142857</v>
      </c>
      <c r="M48" s="124"/>
      <c r="N48" s="124">
        <v>170.14285714285714</v>
      </c>
      <c r="O48" s="124"/>
      <c r="P48" s="9"/>
      <c r="Q48" s="14"/>
    </row>
    <row r="49" spans="1:236" ht="17.649999999999999" customHeight="1" x14ac:dyDescent="0.3">
      <c r="A49" s="122" t="s">
        <v>43</v>
      </c>
      <c r="B49" s="124">
        <v>6645.4285714285716</v>
      </c>
      <c r="C49" s="124">
        <v>6491.2319010000001</v>
      </c>
      <c r="D49" s="124">
        <v>0</v>
      </c>
      <c r="E49" s="124">
        <v>0</v>
      </c>
      <c r="F49" s="124">
        <v>0</v>
      </c>
      <c r="G49" s="124">
        <v>0</v>
      </c>
      <c r="H49" s="124">
        <v>6645.4285714285716</v>
      </c>
      <c r="I49" s="124">
        <v>6491.2319010000001</v>
      </c>
      <c r="J49" s="124">
        <v>69.571428571428569</v>
      </c>
      <c r="K49" s="124">
        <v>67.957132999999999</v>
      </c>
      <c r="L49" s="124">
        <v>100.57142857142857</v>
      </c>
      <c r="M49" s="124">
        <v>98.237826999999996</v>
      </c>
      <c r="N49" s="124">
        <v>170.14285714285714</v>
      </c>
      <c r="O49" s="124">
        <v>166.19495999999998</v>
      </c>
      <c r="P49" s="9"/>
      <c r="Q49" s="14"/>
    </row>
    <row r="50" spans="1:236" ht="17.649999999999999" customHeight="1" x14ac:dyDescent="0.3">
      <c r="A50" s="122" t="s">
        <v>44</v>
      </c>
      <c r="B50" s="124">
        <v>6645.4285714285716</v>
      </c>
      <c r="C50" s="124">
        <v>6340.6131219999997</v>
      </c>
      <c r="D50" s="124">
        <v>0</v>
      </c>
      <c r="E50" s="124">
        <v>0</v>
      </c>
      <c r="F50" s="124">
        <v>0</v>
      </c>
      <c r="G50" s="124">
        <v>0</v>
      </c>
      <c r="H50" s="124">
        <v>6645.4285714285716</v>
      </c>
      <c r="I50" s="124">
        <v>6340.6131219999997</v>
      </c>
      <c r="J50" s="124">
        <v>69.571428571428569</v>
      </c>
      <c r="K50" s="124">
        <v>66.380296000000001</v>
      </c>
      <c r="L50" s="124">
        <v>100.57142857142857</v>
      </c>
      <c r="M50" s="124">
        <v>95.958374000000006</v>
      </c>
      <c r="N50" s="124">
        <v>170.14285714285714</v>
      </c>
      <c r="O50" s="124">
        <v>162.33867000000001</v>
      </c>
      <c r="P50" s="9"/>
      <c r="Q50" s="14"/>
    </row>
    <row r="51" spans="1:236" ht="17.649999999999999" customHeight="1" x14ac:dyDescent="0.3">
      <c r="A51" s="122" t="s">
        <v>45</v>
      </c>
      <c r="B51" s="124">
        <v>6645.4285714285716</v>
      </c>
      <c r="C51" s="124">
        <v>6193.4892129999998</v>
      </c>
      <c r="D51" s="124">
        <v>4286</v>
      </c>
      <c r="E51" s="124">
        <v>3994.5196129999999</v>
      </c>
      <c r="F51" s="124">
        <v>4286</v>
      </c>
      <c r="G51" s="124">
        <v>3994.5196129999999</v>
      </c>
      <c r="H51" s="124">
        <v>15217.428571428572</v>
      </c>
      <c r="I51" s="124">
        <v>14182.528439</v>
      </c>
      <c r="J51" s="124">
        <v>69.571428571428569</v>
      </c>
      <c r="K51" s="124">
        <v>64.840046000000001</v>
      </c>
      <c r="L51" s="124">
        <v>100.57142857142857</v>
      </c>
      <c r="M51" s="124">
        <v>93.731810999999993</v>
      </c>
      <c r="N51" s="124">
        <v>170.14285714285714</v>
      </c>
      <c r="O51" s="124">
        <v>158.57185699999999</v>
      </c>
      <c r="P51" s="9"/>
      <c r="Q51" s="14"/>
    </row>
    <row r="52" spans="1:236" ht="17.649999999999999" customHeight="1" x14ac:dyDescent="0.3">
      <c r="A52" s="122" t="s">
        <v>46</v>
      </c>
      <c r="B52" s="124">
        <v>6645.4285714285716</v>
      </c>
      <c r="C52" s="124">
        <v>6049.7790809999997</v>
      </c>
      <c r="D52" s="124">
        <v>4286</v>
      </c>
      <c r="E52" s="124">
        <v>3901.8330970000002</v>
      </c>
      <c r="F52" s="124">
        <v>4286</v>
      </c>
      <c r="G52" s="124">
        <v>3901.8330970000002</v>
      </c>
      <c r="H52" s="124">
        <v>15217.428571428572</v>
      </c>
      <c r="I52" s="124">
        <v>13853.445275</v>
      </c>
      <c r="J52" s="124">
        <v>69.571428571428569</v>
      </c>
      <c r="K52" s="124">
        <v>63.335535</v>
      </c>
      <c r="L52" s="124">
        <v>100.57142857142857</v>
      </c>
      <c r="M52" s="124">
        <v>91.556912999999994</v>
      </c>
      <c r="N52" s="124">
        <v>170.14285714285714</v>
      </c>
      <c r="O52" s="124">
        <v>154.892448</v>
      </c>
      <c r="P52" s="9"/>
      <c r="Q52" s="14"/>
    </row>
    <row r="53" spans="1:236" ht="17.649999999999999" customHeight="1" x14ac:dyDescent="0.3">
      <c r="A53" s="122" t="s">
        <v>47</v>
      </c>
      <c r="B53" s="124">
        <v>6645.4285714285716</v>
      </c>
      <c r="C53" s="124">
        <v>5909.4035169999997</v>
      </c>
      <c r="D53" s="124">
        <v>4286</v>
      </c>
      <c r="E53" s="124">
        <v>3811.2972249999998</v>
      </c>
      <c r="F53" s="124">
        <v>4286</v>
      </c>
      <c r="G53" s="124">
        <v>3811.2972249999998</v>
      </c>
      <c r="H53" s="124">
        <v>15217.428571428572</v>
      </c>
      <c r="I53" s="124">
        <v>13531.997966999999</v>
      </c>
      <c r="J53" s="124">
        <v>69.571428571428569</v>
      </c>
      <c r="K53" s="124">
        <v>61.865934000000003</v>
      </c>
      <c r="L53" s="124">
        <v>100.57142857142857</v>
      </c>
      <c r="M53" s="124">
        <v>89.432479000000001</v>
      </c>
      <c r="N53" s="124">
        <v>170.14285714285714</v>
      </c>
      <c r="O53" s="124">
        <v>151.29841300000001</v>
      </c>
      <c r="P53" s="9"/>
      <c r="Q53" s="14"/>
    </row>
    <row r="54" spans="1:236" ht="17.649999999999999" customHeight="1" x14ac:dyDescent="0.3">
      <c r="A54" s="122" t="s">
        <v>48</v>
      </c>
      <c r="B54" s="124">
        <v>6645.4285714285716</v>
      </c>
      <c r="C54" s="124">
        <v>5772.2851449999998</v>
      </c>
      <c r="D54" s="124">
        <v>4286</v>
      </c>
      <c r="E54" s="124">
        <v>3722.862095</v>
      </c>
      <c r="F54" s="124">
        <v>4286</v>
      </c>
      <c r="G54" s="124">
        <v>3722.862095</v>
      </c>
      <c r="H54" s="124">
        <v>15217.428571428572</v>
      </c>
      <c r="I54" s="124">
        <v>13218.009335000001</v>
      </c>
      <c r="J54" s="124">
        <v>69.571428571428569</v>
      </c>
      <c r="K54" s="124">
        <v>60.430433000000001</v>
      </c>
      <c r="L54" s="124">
        <v>100.57142857142857</v>
      </c>
      <c r="M54" s="124">
        <v>87.357339999999994</v>
      </c>
      <c r="N54" s="124">
        <v>170.14285714285714</v>
      </c>
      <c r="O54" s="124">
        <v>147.78777299999999</v>
      </c>
      <c r="P54" s="9"/>
      <c r="Q54" s="14"/>
    </row>
    <row r="55" spans="1:236" ht="17.649999999999999" customHeight="1" x14ac:dyDescent="0.3">
      <c r="A55" s="122" t="s">
        <v>49</v>
      </c>
      <c r="B55" s="124">
        <v>6645.4285714285716</v>
      </c>
      <c r="C55" s="124">
        <v>5638.3483889999998</v>
      </c>
      <c r="D55" s="124">
        <v>4286</v>
      </c>
      <c r="E55" s="124">
        <v>3636.4789620000001</v>
      </c>
      <c r="F55" s="124">
        <v>4286</v>
      </c>
      <c r="G55" s="124">
        <v>3636.4789620000001</v>
      </c>
      <c r="H55" s="124">
        <v>15217.428571428572</v>
      </c>
      <c r="I55" s="124">
        <v>12911.306313000001</v>
      </c>
      <c r="J55" s="124">
        <v>69.571428571428569</v>
      </c>
      <c r="K55" s="124">
        <v>59.028239999999997</v>
      </c>
      <c r="L55" s="124">
        <v>100.57142857142857</v>
      </c>
      <c r="M55" s="124">
        <v>85.330350999999993</v>
      </c>
      <c r="N55" s="124">
        <v>170.14285714285714</v>
      </c>
      <c r="O55" s="124">
        <v>144.35859099999999</v>
      </c>
      <c r="P55" s="9"/>
      <c r="Q55" s="14"/>
    </row>
    <row r="56" spans="1:236" ht="17.649999999999999" customHeight="1" thickBot="1" x14ac:dyDescent="0.35">
      <c r="A56" s="122" t="s">
        <v>50</v>
      </c>
      <c r="B56" s="124">
        <v>6645.4285714285716</v>
      </c>
      <c r="C56" s="124">
        <v>5507.5194229999997</v>
      </c>
      <c r="D56" s="124">
        <v>4286</v>
      </c>
      <c r="E56" s="124">
        <v>3552.1002140000001</v>
      </c>
      <c r="F56" s="124">
        <v>4286</v>
      </c>
      <c r="G56" s="124">
        <v>3552.1002140000001</v>
      </c>
      <c r="H56" s="124">
        <v>15217.428571428572</v>
      </c>
      <c r="I56" s="124">
        <v>12611.719851</v>
      </c>
      <c r="J56" s="124">
        <v>69.571428571428569</v>
      </c>
      <c r="K56" s="124">
        <v>57.658583</v>
      </c>
      <c r="L56" s="124">
        <v>100.57142857142857</v>
      </c>
      <c r="M56" s="124">
        <v>83.350395000000006</v>
      </c>
      <c r="N56" s="124">
        <v>170.14285714285714</v>
      </c>
      <c r="O56" s="124">
        <v>141.00897800000001</v>
      </c>
      <c r="P56" s="9"/>
      <c r="Q56" s="14"/>
    </row>
    <row r="57" spans="1:236" ht="17.649999999999999" customHeight="1" x14ac:dyDescent="0.3">
      <c r="A57" s="122" t="s">
        <v>51</v>
      </c>
      <c r="B57" s="133">
        <v>890526.85714285669</v>
      </c>
      <c r="C57" s="133">
        <v>47902.669790999993</v>
      </c>
      <c r="D57" s="133">
        <v>52745</v>
      </c>
      <c r="E57" s="133">
        <v>22619.091205999997</v>
      </c>
      <c r="F57" s="133">
        <v>638341</v>
      </c>
      <c r="G57" s="133">
        <v>22619.091205999997</v>
      </c>
      <c r="H57" s="133">
        <v>1581612.8571428577</v>
      </c>
      <c r="I57" s="133">
        <v>93140.852202999988</v>
      </c>
      <c r="J57" s="133">
        <v>3762.142857142856</v>
      </c>
      <c r="K57" s="133">
        <v>501.49619999999999</v>
      </c>
      <c r="L57" s="133">
        <v>5852.142857142856</v>
      </c>
      <c r="M57" s="133">
        <v>724.95548999999994</v>
      </c>
      <c r="N57" s="133">
        <v>9614.2857142857119</v>
      </c>
      <c r="O57" s="133">
        <v>1226.4516900000001</v>
      </c>
      <c r="P57" s="9"/>
      <c r="Q57" s="14"/>
    </row>
    <row r="58" spans="1:236" ht="17.649999999999999" customHeight="1" x14ac:dyDescent="0.3">
      <c r="A58" s="131" t="s">
        <v>72</v>
      </c>
      <c r="B58" s="124">
        <v>6645.4285714285716</v>
      </c>
      <c r="C58" s="124"/>
      <c r="D58" s="124">
        <v>4286</v>
      </c>
      <c r="E58" s="124"/>
      <c r="F58" s="124">
        <v>4286</v>
      </c>
      <c r="G58" s="124"/>
      <c r="H58" s="124">
        <v>15217.428571428572</v>
      </c>
      <c r="I58" s="124">
        <v>0</v>
      </c>
      <c r="J58" s="124">
        <v>69.571428571428569</v>
      </c>
      <c r="K58" s="124"/>
      <c r="L58" s="124">
        <v>100.57142857142857</v>
      </c>
      <c r="M58" s="124"/>
      <c r="N58" s="124">
        <v>170.14285714285714</v>
      </c>
      <c r="O58" s="124">
        <v>0</v>
      </c>
      <c r="P58" s="9"/>
      <c r="Q58" s="14"/>
    </row>
    <row r="59" spans="1:236" ht="17.649999999999999" customHeight="1" x14ac:dyDescent="0.3">
      <c r="A59" s="135" t="s">
        <v>53</v>
      </c>
      <c r="B59" s="125">
        <v>53163.428571428572</v>
      </c>
      <c r="C59" s="125">
        <v>47902.669790999993</v>
      </c>
      <c r="D59" s="125">
        <v>25716</v>
      </c>
      <c r="E59" s="125">
        <v>22619.091205999997</v>
      </c>
      <c r="F59" s="125">
        <v>25716</v>
      </c>
      <c r="G59" s="125">
        <v>22619.091205999997</v>
      </c>
      <c r="H59" s="125">
        <v>104595.42857142858</v>
      </c>
      <c r="I59" s="125">
        <v>93140.852202999988</v>
      </c>
      <c r="J59" s="125">
        <v>556.57142857142856</v>
      </c>
      <c r="K59" s="125">
        <v>501.49619999999999</v>
      </c>
      <c r="L59" s="125">
        <v>804.57142857142856</v>
      </c>
      <c r="M59" s="125">
        <v>724.95548999999994</v>
      </c>
      <c r="N59" s="125">
        <v>1361.1428571428571</v>
      </c>
      <c r="O59" s="125">
        <v>1226.4516900000001</v>
      </c>
      <c r="P59" s="9"/>
      <c r="Q59" s="14"/>
    </row>
    <row r="60" spans="1:236" ht="54.6" customHeight="1" x14ac:dyDescent="0.25">
      <c r="A60" s="40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>
        <v>0</v>
      </c>
      <c r="AD60" s="21"/>
      <c r="AE60" s="21"/>
      <c r="AF60" s="33"/>
      <c r="AG60" s="21">
        <v>0</v>
      </c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ht="1.1499999999999999" customHeight="1" x14ac:dyDescent="0.2">
      <c r="A61" s="17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9"/>
      <c r="M61" s="9"/>
      <c r="N61" s="9"/>
      <c r="O61" s="9"/>
      <c r="P61" s="9"/>
      <c r="Q61" s="14"/>
    </row>
    <row r="62" spans="1:236" ht="1.1499999999999999" customHeight="1" x14ac:dyDescent="0.2">
      <c r="A62" s="17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9"/>
      <c r="M62" s="43"/>
      <c r="N62" s="9"/>
      <c r="O62" s="9"/>
      <c r="P62" s="9"/>
      <c r="Q62" s="14"/>
    </row>
    <row r="63" spans="1:236" ht="1.1499999999999999" customHeight="1" x14ac:dyDescent="0.2">
      <c r="A63" s="17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9"/>
      <c r="M63" s="9"/>
      <c r="N63" s="9"/>
      <c r="O63" s="9"/>
      <c r="P63" s="9"/>
      <c r="Q63" s="14"/>
    </row>
    <row r="64" spans="1:236" ht="1.1499999999999999" customHeight="1" x14ac:dyDescent="0.2">
      <c r="A64" s="17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9"/>
      <c r="M64" s="9"/>
      <c r="N64" s="9"/>
      <c r="O64" s="9"/>
      <c r="P64" s="9"/>
      <c r="Q64" s="14"/>
    </row>
    <row r="65" spans="1:17" ht="15" customHeight="1" x14ac:dyDescent="0.2">
      <c r="A65" s="17"/>
      <c r="B65" s="14"/>
      <c r="C65" s="14"/>
      <c r="D65" s="45"/>
      <c r="E65" s="14"/>
      <c r="F65" s="14"/>
      <c r="G65" s="14"/>
      <c r="H65" s="14"/>
      <c r="I65" s="14"/>
      <c r="J65" s="9"/>
      <c r="K65" s="9"/>
      <c r="L65" s="9"/>
      <c r="M65" s="9"/>
      <c r="N65" s="9"/>
      <c r="P65" s="9"/>
      <c r="Q65" s="14"/>
    </row>
    <row r="66" spans="1:17" x14ac:dyDescent="0.2">
      <c r="A66" s="17"/>
      <c r="B66" s="14"/>
      <c r="C66" s="14"/>
      <c r="D66" s="46"/>
      <c r="E66" s="14"/>
      <c r="F66" s="14"/>
      <c r="G66" s="14"/>
      <c r="H66" s="14"/>
      <c r="I66" s="14"/>
      <c r="J66" s="9"/>
      <c r="K66" s="9"/>
      <c r="L66" s="9"/>
      <c r="M66" s="9"/>
      <c r="N66" s="9"/>
      <c r="P66" s="9"/>
      <c r="Q66" s="14"/>
    </row>
    <row r="67" spans="1:17" x14ac:dyDescent="0.2">
      <c r="A67" s="17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9"/>
      <c r="M67" s="9"/>
      <c r="N67" s="9"/>
      <c r="O67" s="9"/>
      <c r="P67" s="9"/>
      <c r="Q67" s="14"/>
    </row>
    <row r="68" spans="1:17" x14ac:dyDescent="0.2">
      <c r="A68" s="17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9"/>
      <c r="M68" s="9"/>
      <c r="N68" s="9"/>
      <c r="O68" s="9"/>
      <c r="P68" s="9"/>
      <c r="Q68" s="14"/>
    </row>
    <row r="69" spans="1:17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x14ac:dyDescent="0.2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2">
      <c r="A79" s="1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">
      <c r="A81" s="1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2">
      <c r="A82" s="17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2">
      <c r="A83" s="1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2">
      <c r="A84" s="17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">
      <c r="A85" s="17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">
      <c r="A86" s="17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">
      <c r="A87" s="1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2">
      <c r="A88" s="17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x14ac:dyDescent="0.2">
      <c r="A89" s="17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2">
      <c r="A90" s="1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x14ac:dyDescent="0.2">
      <c r="A91" s="17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x14ac:dyDescent="0.2">
      <c r="A92" s="17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x14ac:dyDescent="0.2">
      <c r="A93" s="17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x14ac:dyDescent="0.2">
      <c r="A94" s="17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x14ac:dyDescent="0.2">
      <c r="A95" s="17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x14ac:dyDescent="0.2">
      <c r="A96" s="17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x14ac:dyDescent="0.2">
      <c r="A97" s="17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x14ac:dyDescent="0.2">
      <c r="A98" s="17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x14ac:dyDescent="0.2">
      <c r="A99" s="17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x14ac:dyDescent="0.2">
      <c r="A100" s="17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x14ac:dyDescent="0.2">
      <c r="A101" s="17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x14ac:dyDescent="0.2">
      <c r="A102" s="17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x14ac:dyDescent="0.2">
      <c r="A103" s="17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x14ac:dyDescent="0.2">
      <c r="A104" s="17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x14ac:dyDescent="0.2">
      <c r="A105" s="17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2">
      <c r="A106" s="17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2">
      <c r="A107" s="1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2">
      <c r="A108" s="1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2">
      <c r="A109" s="1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">
      <c r="A110" s="1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">
      <c r="A111" s="17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">
      <c r="A112" s="17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">
      <c r="A113" s="17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">
      <c r="A114" s="1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">
      <c r="A115" s="17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">
      <c r="A116" s="17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">
      <c r="A117" s="17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">
      <c r="A118" s="17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">
      <c r="A119" s="17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">
      <c r="A120" s="17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">
      <c r="A121" s="17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">
      <c r="A122" s="1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">
      <c r="A123" s="1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">
      <c r="A124" s="1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">
      <c r="A125" s="17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">
      <c r="A126" s="17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">
      <c r="A127" s="17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">
      <c r="A128" s="17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">
      <c r="A129" s="17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">
      <c r="A130" s="17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">
      <c r="A131" s="17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">
      <c r="A132" s="17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">
      <c r="A133" s="17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">
      <c r="A134" s="17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">
      <c r="A135" s="1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">
      <c r="A136" s="17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">
      <c r="A137" s="17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">
      <c r="A138" s="17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">
      <c r="A139" s="17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">
      <c r="A140" s="17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">
      <c r="A141" s="17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">
      <c r="A142" s="17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">
      <c r="A143" s="17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">
      <c r="A144" s="17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">
      <c r="A145" s="17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">
      <c r="A146" s="17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">
      <c r="A147" s="17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">
      <c r="A148" s="17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">
      <c r="A149" s="17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">
      <c r="A150" s="17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">
      <c r="A151" s="17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">
      <c r="A152" s="17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">
      <c r="A153" s="17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">
      <c r="A154" s="17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">
      <c r="A155" s="17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">
      <c r="A156" s="17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">
      <c r="A157" s="17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">
      <c r="A158" s="17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">
      <c r="A159" s="17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">
      <c r="A160" s="17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">
      <c r="A161" s="17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">
      <c r="A162" s="17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">
      <c r="A163" s="17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">
      <c r="A164" s="17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">
      <c r="A165" s="17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">
      <c r="A166" s="17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">
      <c r="A167" s="17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">
      <c r="A168" s="1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">
      <c r="A169" s="17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">
      <c r="A170" s="17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">
      <c r="A171" s="17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">
      <c r="A172" s="17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">
      <c r="A173" s="17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">
      <c r="A174" s="17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">
      <c r="A175" s="17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">
      <c r="A176" s="17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">
      <c r="A177" s="17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</sheetData>
  <printOptions horizontalCentered="1"/>
  <pageMargins left="0" right="0" top="0" bottom="0" header="0.25" footer="0.25"/>
  <pageSetup scale="42" orientation="landscape" r:id="rId1"/>
  <headerFooter>
    <oddFooter>&amp;RSchedule A-13
Page &amp;P of &amp;N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1B9-4F4D-4D6B-B998-015F77E06936}">
  <sheetPr transitionEvaluation="1" transitionEntry="1"/>
  <dimension ref="A1:HS77"/>
  <sheetViews>
    <sheetView defaultGridColor="0" view="pageBreakPreview" colorId="22" zoomScale="90" zoomScaleNormal="70" zoomScaleSheetLayoutView="90" workbookViewId="0">
      <selection activeCell="A8" sqref="A8:XFD8"/>
    </sheetView>
  </sheetViews>
  <sheetFormatPr defaultColWidth="9.77734375" defaultRowHeight="15" x14ac:dyDescent="0.2"/>
  <cols>
    <col min="1" max="1" width="21.33203125" style="18" customWidth="1"/>
    <col min="2" max="2" width="7.77734375" style="11" bestFit="1" customWidth="1"/>
    <col min="3" max="3" width="10" style="11" bestFit="1" customWidth="1"/>
    <col min="4" max="4" width="9.44140625" style="11" bestFit="1" customWidth="1"/>
    <col min="5" max="5" width="10" style="11" bestFit="1" customWidth="1"/>
    <col min="6" max="6" width="8.5546875" style="11" bestFit="1" customWidth="1"/>
    <col min="7" max="7" width="10" style="11" bestFit="1" customWidth="1"/>
    <col min="8" max="8" width="8.77734375" style="11" bestFit="1" customWidth="1"/>
    <col min="9" max="9" width="10" style="11" bestFit="1" customWidth="1"/>
    <col min="10" max="10" width="11.109375" style="11" bestFit="1" customWidth="1"/>
    <col min="11" max="11" width="13.44140625" style="11" bestFit="1" customWidth="1"/>
    <col min="12" max="12" width="14.21875" style="11" customWidth="1"/>
    <col min="13" max="13" width="13.77734375" style="11" customWidth="1"/>
    <col min="14" max="14" width="3.21875" style="11" customWidth="1"/>
    <col min="15" max="16384" width="9.77734375" style="11"/>
  </cols>
  <sheetData>
    <row r="1" spans="1:227" s="1" customFormat="1" ht="40.5" x14ac:dyDescent="0.35">
      <c r="A1" s="165" t="str">
        <f>[2]INFORMATION!A1</f>
        <v>M&amp;I 2023 Sch A-13 F.Z25.XLSM</v>
      </c>
      <c r="B1" s="151"/>
      <c r="C1" s="151"/>
      <c r="D1" s="151"/>
      <c r="E1" s="151"/>
      <c r="F1" s="151"/>
      <c r="G1" s="151"/>
      <c r="H1" s="116"/>
      <c r="I1" s="117"/>
      <c r="J1" s="118"/>
      <c r="K1" s="118"/>
      <c r="L1" s="118"/>
      <c r="M1" s="174"/>
      <c r="N1" s="3"/>
      <c r="O1" s="3"/>
      <c r="P1" s="3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227" s="1" customFormat="1" ht="20.25" x14ac:dyDescent="0.35">
      <c r="A2" s="119" t="str">
        <f>[2]INFORMATION!A2</f>
        <v>09/13/2022</v>
      </c>
      <c r="B2" s="153"/>
      <c r="C2" s="153"/>
      <c r="D2" s="153"/>
      <c r="E2" s="153"/>
      <c r="F2" s="153"/>
      <c r="G2" s="153"/>
      <c r="H2" s="116"/>
      <c r="I2" s="117"/>
      <c r="J2" s="118"/>
      <c r="K2" s="118"/>
      <c r="L2" s="118"/>
      <c r="M2" s="174"/>
      <c r="N2" s="3"/>
      <c r="O2" s="3"/>
      <c r="P2" s="3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227" s="1" customFormat="1" ht="40.5" x14ac:dyDescent="0.35">
      <c r="A3" s="175" t="str">
        <f>PAGE_1!A3</f>
        <v>CENTRAL VALLEY PROJECT</v>
      </c>
      <c r="B3" s="11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227" s="1" customFormat="1" ht="101.25" x14ac:dyDescent="0.35">
      <c r="A4" s="175" t="str">
        <f>PAGE_1!A4</f>
        <v>SCHEDULE OF HISTORICAL (1981-2021) &amp; PROJECTED (2022-2030) M&amp;I WATER DELIVERIES</v>
      </c>
      <c r="B4" s="11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227" s="1" customFormat="1" ht="162" x14ac:dyDescent="0.35">
      <c r="A5" s="177" t="str">
        <f>PAGE_1!A5</f>
        <v xml:space="preserve">AND PRESENT WORTH @ .023755 FOR CALCULATION OF INDIVIDUAL CONTRACTOR PRORATED CONSTRUCTION COSTS AND RATE   </v>
      </c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227" s="1" customFormat="1" ht="0.75" customHeight="1" x14ac:dyDescent="0.35">
      <c r="A6" s="180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227" s="29" customFormat="1" ht="34.5" x14ac:dyDescent="0.3">
      <c r="A7" s="181" t="s">
        <v>92</v>
      </c>
      <c r="B7" s="182"/>
      <c r="C7" s="183"/>
      <c r="D7" s="183"/>
      <c r="E7" s="183"/>
      <c r="F7" s="183"/>
      <c r="G7" s="183"/>
      <c r="H7" s="184"/>
      <c r="I7" s="183"/>
      <c r="J7" s="183"/>
      <c r="K7" s="183"/>
      <c r="L7" s="183"/>
      <c r="M7" s="183"/>
      <c r="N7" s="48"/>
      <c r="O7" s="48"/>
      <c r="P7" s="48"/>
      <c r="Q7" s="48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227" s="51" customFormat="1" ht="86.25" x14ac:dyDescent="0.3">
      <c r="A8" s="167" t="s">
        <v>0</v>
      </c>
      <c r="B8" s="188" t="s">
        <v>93</v>
      </c>
      <c r="C8" s="189" t="s">
        <v>94</v>
      </c>
      <c r="D8" s="190" t="s">
        <v>273</v>
      </c>
      <c r="E8" s="190" t="s">
        <v>274</v>
      </c>
      <c r="F8" s="190" t="s">
        <v>275</v>
      </c>
      <c r="G8" s="190" t="s">
        <v>276</v>
      </c>
      <c r="H8" s="190" t="s">
        <v>95</v>
      </c>
      <c r="I8" s="190" t="s">
        <v>96</v>
      </c>
      <c r="J8" s="190" t="s">
        <v>97</v>
      </c>
      <c r="K8" s="190" t="s">
        <v>98</v>
      </c>
      <c r="L8" s="190" t="s">
        <v>99</v>
      </c>
      <c r="M8" s="190" t="s">
        <v>100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</row>
    <row r="9" spans="1:227" ht="17.649999999999999" customHeight="1" x14ac:dyDescent="0.35">
      <c r="A9" s="122" t="s">
        <v>4</v>
      </c>
      <c r="B9" s="185">
        <v>473</v>
      </c>
      <c r="C9" s="174"/>
      <c r="D9" s="124">
        <v>43436</v>
      </c>
      <c r="E9" s="174"/>
      <c r="F9" s="127">
        <v>0</v>
      </c>
      <c r="G9" s="174"/>
      <c r="H9" s="124">
        <v>625</v>
      </c>
      <c r="I9" s="174"/>
      <c r="J9" s="157">
        <v>0</v>
      </c>
      <c r="K9" s="186"/>
      <c r="L9" s="127">
        <v>0</v>
      </c>
      <c r="M9" s="174"/>
      <c r="N9" s="33"/>
      <c r="O9" s="33"/>
      <c r="P9" s="33"/>
      <c r="Q9" s="33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</row>
    <row r="10" spans="1:227" ht="17.649999999999999" customHeight="1" x14ac:dyDescent="0.35">
      <c r="A10" s="122" t="s">
        <v>5</v>
      </c>
      <c r="B10" s="124">
        <v>680</v>
      </c>
      <c r="C10" s="174"/>
      <c r="D10" s="124">
        <v>9585</v>
      </c>
      <c r="E10" s="174"/>
      <c r="F10" s="127">
        <v>0</v>
      </c>
      <c r="G10" s="174"/>
      <c r="H10" s="124">
        <v>614</v>
      </c>
      <c r="I10" s="174"/>
      <c r="J10" s="157">
        <v>0</v>
      </c>
      <c r="K10" s="186"/>
      <c r="L10" s="127">
        <v>0</v>
      </c>
      <c r="M10" s="174"/>
      <c r="N10" s="33"/>
      <c r="O10" s="33"/>
      <c r="P10" s="33"/>
      <c r="Q10" s="33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</row>
    <row r="11" spans="1:227" ht="17.649999999999999" customHeight="1" x14ac:dyDescent="0.35">
      <c r="A11" s="122" t="s">
        <v>6</v>
      </c>
      <c r="B11" s="124">
        <v>667</v>
      </c>
      <c r="C11" s="174"/>
      <c r="D11" s="124">
        <v>43598</v>
      </c>
      <c r="E11" s="174"/>
      <c r="F11" s="127">
        <v>0</v>
      </c>
      <c r="G11" s="174"/>
      <c r="H11" s="124">
        <v>521</v>
      </c>
      <c r="I11" s="174"/>
      <c r="J11" s="157">
        <v>0</v>
      </c>
      <c r="K11" s="186"/>
      <c r="L11" s="127">
        <v>0</v>
      </c>
      <c r="M11" s="174"/>
      <c r="N11" s="33"/>
      <c r="O11" s="33"/>
      <c r="P11" s="33"/>
      <c r="Q11" s="33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</row>
    <row r="12" spans="1:227" ht="17.649999999999999" customHeight="1" x14ac:dyDescent="0.35">
      <c r="A12" s="122" t="s">
        <v>7</v>
      </c>
      <c r="B12" s="124">
        <v>320</v>
      </c>
      <c r="C12" s="174"/>
      <c r="D12" s="124">
        <v>52639</v>
      </c>
      <c r="E12" s="174"/>
      <c r="F12" s="127">
        <v>0</v>
      </c>
      <c r="G12" s="174"/>
      <c r="H12" s="124">
        <v>625</v>
      </c>
      <c r="I12" s="174"/>
      <c r="J12" s="157">
        <v>0</v>
      </c>
      <c r="K12" s="186"/>
      <c r="L12" s="127">
        <v>0</v>
      </c>
      <c r="M12" s="174"/>
      <c r="N12" s="33"/>
      <c r="O12" s="33"/>
      <c r="P12" s="33"/>
      <c r="Q12" s="33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</row>
    <row r="13" spans="1:227" ht="17.649999999999999" customHeight="1" x14ac:dyDescent="0.35">
      <c r="A13" s="122" t="s">
        <v>8</v>
      </c>
      <c r="B13" s="124">
        <v>960</v>
      </c>
      <c r="C13" s="174"/>
      <c r="D13" s="124">
        <v>54178</v>
      </c>
      <c r="E13" s="174"/>
      <c r="F13" s="124">
        <v>500</v>
      </c>
      <c r="G13" s="174"/>
      <c r="H13" s="124">
        <v>644</v>
      </c>
      <c r="I13" s="174"/>
      <c r="J13" s="157">
        <v>0</v>
      </c>
      <c r="K13" s="186"/>
      <c r="L13" s="127">
        <v>0</v>
      </c>
      <c r="M13" s="174"/>
      <c r="N13" s="33"/>
      <c r="O13" s="33"/>
      <c r="P13" s="33"/>
      <c r="Q13" s="33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</row>
    <row r="14" spans="1:227" ht="17.649999999999999" customHeight="1" x14ac:dyDescent="0.35">
      <c r="A14" s="122" t="s">
        <v>9</v>
      </c>
      <c r="B14" s="124">
        <v>1365</v>
      </c>
      <c r="C14" s="174"/>
      <c r="D14" s="124">
        <v>31246</v>
      </c>
      <c r="E14" s="174"/>
      <c r="F14" s="124">
        <v>2298</v>
      </c>
      <c r="G14" s="174"/>
      <c r="H14" s="124">
        <v>446</v>
      </c>
      <c r="I14" s="174"/>
      <c r="J14" s="157">
        <v>0</v>
      </c>
      <c r="K14" s="186"/>
      <c r="L14" s="127">
        <v>0</v>
      </c>
      <c r="M14" s="174"/>
      <c r="N14" s="33"/>
      <c r="O14" s="33"/>
      <c r="P14" s="33"/>
      <c r="Q14" s="33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</row>
    <row r="15" spans="1:227" ht="17.649999999999999" customHeight="1" x14ac:dyDescent="0.35">
      <c r="A15" s="122" t="s">
        <v>10</v>
      </c>
      <c r="B15" s="124">
        <v>1362</v>
      </c>
      <c r="C15" s="174"/>
      <c r="D15" s="124">
        <v>53574</v>
      </c>
      <c r="E15" s="174"/>
      <c r="F15" s="124">
        <v>2258</v>
      </c>
      <c r="G15" s="174"/>
      <c r="H15" s="124">
        <v>709</v>
      </c>
      <c r="I15" s="174"/>
      <c r="J15" s="157">
        <v>0</v>
      </c>
      <c r="K15" s="186"/>
      <c r="L15" s="127">
        <v>0</v>
      </c>
      <c r="M15" s="174"/>
      <c r="N15" s="33"/>
      <c r="O15" s="33"/>
      <c r="P15" s="33"/>
      <c r="Q15" s="33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pans="1:227" ht="17.649999999999999" customHeight="1" x14ac:dyDescent="0.35">
      <c r="A16" s="122" t="s">
        <v>11</v>
      </c>
      <c r="B16" s="124">
        <v>1346</v>
      </c>
      <c r="C16" s="174"/>
      <c r="D16" s="124">
        <v>41170</v>
      </c>
      <c r="E16" s="174"/>
      <c r="F16" s="124">
        <v>2246</v>
      </c>
      <c r="G16" s="174"/>
      <c r="H16" s="124">
        <v>738</v>
      </c>
      <c r="I16" s="174"/>
      <c r="J16" s="157">
        <v>0</v>
      </c>
      <c r="K16" s="186"/>
      <c r="L16" s="127">
        <v>0</v>
      </c>
      <c r="M16" s="174"/>
      <c r="N16" s="33"/>
      <c r="O16" s="33"/>
      <c r="P16" s="33"/>
      <c r="Q16" s="33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</row>
    <row r="17" spans="1:227" ht="17.649999999999999" customHeight="1" x14ac:dyDescent="0.35">
      <c r="A17" s="122" t="s">
        <v>12</v>
      </c>
      <c r="B17" s="124">
        <v>2031</v>
      </c>
      <c r="C17" s="174"/>
      <c r="D17" s="124">
        <v>49980</v>
      </c>
      <c r="E17" s="174"/>
      <c r="F17" s="124">
        <v>1948</v>
      </c>
      <c r="G17" s="174"/>
      <c r="H17" s="124">
        <v>824</v>
      </c>
      <c r="I17" s="174"/>
      <c r="J17" s="157">
        <v>0</v>
      </c>
      <c r="K17" s="186"/>
      <c r="L17" s="127">
        <v>0</v>
      </c>
      <c r="M17" s="174"/>
      <c r="N17" s="33"/>
      <c r="O17" s="33"/>
      <c r="P17" s="33"/>
      <c r="Q17" s="33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</row>
    <row r="18" spans="1:227" ht="17.649999999999999" customHeight="1" x14ac:dyDescent="0.35">
      <c r="A18" s="122" t="s">
        <v>13</v>
      </c>
      <c r="B18" s="124">
        <v>2472</v>
      </c>
      <c r="C18" s="174"/>
      <c r="D18" s="124">
        <v>37330</v>
      </c>
      <c r="E18" s="174"/>
      <c r="F18" s="124">
        <v>2847</v>
      </c>
      <c r="G18" s="174"/>
      <c r="H18" s="124">
        <v>969</v>
      </c>
      <c r="I18" s="174"/>
      <c r="J18" s="157">
        <v>0</v>
      </c>
      <c r="K18" s="186"/>
      <c r="L18" s="127">
        <v>0</v>
      </c>
      <c r="M18" s="174"/>
      <c r="N18" s="33"/>
      <c r="O18" s="33"/>
      <c r="P18" s="33"/>
      <c r="Q18" s="33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</row>
    <row r="19" spans="1:227" ht="17.649999999999999" customHeight="1" x14ac:dyDescent="0.35">
      <c r="A19" s="122" t="s">
        <v>14</v>
      </c>
      <c r="B19" s="124">
        <v>1778</v>
      </c>
      <c r="C19" s="174"/>
      <c r="D19" s="124">
        <v>55000</v>
      </c>
      <c r="E19" s="174"/>
      <c r="F19" s="124">
        <v>2648</v>
      </c>
      <c r="G19" s="174"/>
      <c r="H19" s="124">
        <v>866</v>
      </c>
      <c r="I19" s="174"/>
      <c r="J19" s="157">
        <v>0</v>
      </c>
      <c r="K19" s="186"/>
      <c r="L19" s="127">
        <v>0</v>
      </c>
      <c r="M19" s="174"/>
      <c r="N19" s="33"/>
      <c r="O19" s="33"/>
      <c r="P19" s="33"/>
      <c r="Q19" s="33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</row>
    <row r="20" spans="1:227" ht="17.649999999999999" customHeight="1" x14ac:dyDescent="0.35">
      <c r="A20" s="122" t="s">
        <v>15</v>
      </c>
      <c r="B20" s="124">
        <v>482</v>
      </c>
      <c r="C20" s="174"/>
      <c r="D20" s="124">
        <v>38570</v>
      </c>
      <c r="E20" s="174"/>
      <c r="F20" s="124">
        <v>3984</v>
      </c>
      <c r="G20" s="174"/>
      <c r="H20" s="124">
        <v>1600</v>
      </c>
      <c r="I20" s="174"/>
      <c r="J20" s="157">
        <v>0</v>
      </c>
      <c r="K20" s="186"/>
      <c r="L20" s="124">
        <v>299</v>
      </c>
      <c r="M20" s="174"/>
      <c r="N20" s="33"/>
      <c r="O20" s="33"/>
      <c r="P20" s="33"/>
      <c r="Q20" s="33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</row>
    <row r="21" spans="1:227" ht="17.649999999999999" customHeight="1" x14ac:dyDescent="0.35">
      <c r="A21" s="122" t="s">
        <v>16</v>
      </c>
      <c r="B21" s="124">
        <v>1076</v>
      </c>
      <c r="C21" s="174"/>
      <c r="D21" s="124">
        <v>67740</v>
      </c>
      <c r="E21" s="174"/>
      <c r="F21" s="124">
        <v>1952</v>
      </c>
      <c r="G21" s="174"/>
      <c r="H21" s="124">
        <v>872</v>
      </c>
      <c r="I21" s="174"/>
      <c r="J21" s="157">
        <v>0</v>
      </c>
      <c r="K21" s="186"/>
      <c r="L21" s="124">
        <v>172</v>
      </c>
      <c r="M21" s="174"/>
      <c r="N21" s="33"/>
      <c r="O21" s="33"/>
      <c r="P21" s="33"/>
      <c r="Q21" s="33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</row>
    <row r="22" spans="1:227" ht="17.649999999999999" customHeight="1" x14ac:dyDescent="0.35">
      <c r="A22" s="122" t="s">
        <v>17</v>
      </c>
      <c r="B22" s="124">
        <v>757</v>
      </c>
      <c r="C22" s="174"/>
      <c r="D22" s="124">
        <v>46294</v>
      </c>
      <c r="E22" s="174"/>
      <c r="F22" s="124">
        <v>2378</v>
      </c>
      <c r="G22" s="174"/>
      <c r="H22" s="124">
        <v>2091</v>
      </c>
      <c r="I22" s="174"/>
      <c r="J22" s="157">
        <v>0</v>
      </c>
      <c r="K22" s="186"/>
      <c r="L22" s="124">
        <v>236</v>
      </c>
      <c r="M22" s="174"/>
      <c r="N22" s="33"/>
      <c r="O22" s="33"/>
      <c r="P22" s="33"/>
      <c r="Q22" s="33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</row>
    <row r="23" spans="1:227" ht="17.649999999999999" customHeight="1" x14ac:dyDescent="0.35">
      <c r="A23" s="122" t="s">
        <v>18</v>
      </c>
      <c r="B23" s="124">
        <v>522</v>
      </c>
      <c r="C23" s="174"/>
      <c r="D23" s="124">
        <v>22013</v>
      </c>
      <c r="E23" s="174"/>
      <c r="F23" s="124">
        <v>2283</v>
      </c>
      <c r="G23" s="174"/>
      <c r="H23" s="124">
        <v>2007</v>
      </c>
      <c r="I23" s="174"/>
      <c r="J23" s="157">
        <v>0</v>
      </c>
      <c r="K23" s="186"/>
      <c r="L23" s="124">
        <v>260</v>
      </c>
      <c r="M23" s="174"/>
      <c r="N23" s="33"/>
      <c r="O23" s="33"/>
      <c r="P23" s="33"/>
      <c r="Q23" s="33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</row>
    <row r="24" spans="1:227" ht="17.649999999999999" customHeight="1" x14ac:dyDescent="0.35">
      <c r="A24" s="122" t="s">
        <v>19</v>
      </c>
      <c r="B24" s="124">
        <v>1811</v>
      </c>
      <c r="C24" s="174"/>
      <c r="D24" s="124">
        <v>92954</v>
      </c>
      <c r="E24" s="174"/>
      <c r="F24" s="124">
        <v>1862</v>
      </c>
      <c r="G24" s="174"/>
      <c r="H24" s="124">
        <v>2500</v>
      </c>
      <c r="I24" s="174"/>
      <c r="J24" s="187">
        <v>0</v>
      </c>
      <c r="K24" s="186"/>
      <c r="L24" s="124">
        <v>288</v>
      </c>
      <c r="M24" s="174"/>
      <c r="N24" s="33"/>
      <c r="O24" s="33"/>
      <c r="P24" s="33"/>
      <c r="Q24" s="33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</row>
    <row r="25" spans="1:227" ht="15" customHeight="1" x14ac:dyDescent="0.35">
      <c r="A25" s="122" t="s">
        <v>20</v>
      </c>
      <c r="B25" s="124">
        <v>42</v>
      </c>
      <c r="C25" s="174"/>
      <c r="D25" s="124">
        <v>60000</v>
      </c>
      <c r="E25" s="174"/>
      <c r="F25" s="124">
        <v>1317</v>
      </c>
      <c r="G25" s="174"/>
      <c r="H25" s="124">
        <v>1386</v>
      </c>
      <c r="I25" s="174"/>
      <c r="J25" s="187">
        <v>0</v>
      </c>
      <c r="K25" s="186"/>
      <c r="L25" s="124">
        <v>33</v>
      </c>
      <c r="M25" s="174"/>
      <c r="N25" s="33"/>
      <c r="O25" s="33"/>
      <c r="P25" s="33"/>
      <c r="Q25" s="33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</row>
    <row r="26" spans="1:227" ht="15" customHeight="1" x14ac:dyDescent="0.35">
      <c r="A26" s="122" t="s">
        <v>21</v>
      </c>
      <c r="B26" s="124">
        <v>329</v>
      </c>
      <c r="C26" s="174"/>
      <c r="D26" s="124">
        <v>14689</v>
      </c>
      <c r="E26" s="174"/>
      <c r="F26" s="124">
        <v>1058</v>
      </c>
      <c r="G26" s="174"/>
      <c r="H26" s="124">
        <v>-200</v>
      </c>
      <c r="I26" s="174"/>
      <c r="J26" s="187">
        <v>0</v>
      </c>
      <c r="K26" s="186"/>
      <c r="L26" s="124">
        <v>101</v>
      </c>
      <c r="M26" s="174"/>
      <c r="N26" s="33"/>
      <c r="O26" s="33"/>
      <c r="P26" s="33"/>
      <c r="Q26" s="33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</row>
    <row r="27" spans="1:227" ht="16.5" customHeight="1" x14ac:dyDescent="0.35">
      <c r="A27" s="122" t="s">
        <v>22</v>
      </c>
      <c r="B27" s="124">
        <v>206</v>
      </c>
      <c r="C27" s="174"/>
      <c r="D27" s="124">
        <v>94667</v>
      </c>
      <c r="E27" s="174"/>
      <c r="F27" s="124">
        <v>3214</v>
      </c>
      <c r="G27" s="174"/>
      <c r="H27" s="124">
        <v>1336</v>
      </c>
      <c r="I27" s="174"/>
      <c r="J27" s="187">
        <v>0</v>
      </c>
      <c r="K27" s="186"/>
      <c r="L27" s="124">
        <v>167</v>
      </c>
      <c r="M27" s="174"/>
      <c r="N27" s="33"/>
      <c r="O27" s="33"/>
      <c r="P27" s="33"/>
      <c r="Q27" s="33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</row>
    <row r="28" spans="1:227" ht="15" customHeight="1" x14ac:dyDescent="0.35">
      <c r="A28" s="122" t="s">
        <v>24</v>
      </c>
      <c r="B28" s="124">
        <v>216</v>
      </c>
      <c r="C28" s="174"/>
      <c r="D28" s="124">
        <v>60000</v>
      </c>
      <c r="E28" s="174"/>
      <c r="F28" s="124">
        <v>1934</v>
      </c>
      <c r="G28" s="174"/>
      <c r="H28" s="124">
        <v>1534</v>
      </c>
      <c r="I28" s="174"/>
      <c r="J28" s="128">
        <v>0</v>
      </c>
      <c r="K28" s="174"/>
      <c r="L28" s="128">
        <v>0</v>
      </c>
      <c r="M28" s="174"/>
      <c r="N28" s="33"/>
      <c r="O28" s="33"/>
      <c r="P28" s="33"/>
      <c r="Q28" s="33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</row>
    <row r="29" spans="1:227" ht="17.649999999999999" customHeight="1" x14ac:dyDescent="0.35">
      <c r="A29" s="122" t="s">
        <v>25</v>
      </c>
      <c r="B29" s="128">
        <v>0</v>
      </c>
      <c r="C29" s="174"/>
      <c r="D29" s="124">
        <v>58000</v>
      </c>
      <c r="E29" s="174"/>
      <c r="F29" s="124">
        <v>781</v>
      </c>
      <c r="G29" s="174"/>
      <c r="H29" s="124">
        <v>1442</v>
      </c>
      <c r="I29" s="174"/>
      <c r="J29" s="124">
        <v>105</v>
      </c>
      <c r="K29" s="174"/>
      <c r="L29" s="124">
        <v>404</v>
      </c>
      <c r="M29" s="174"/>
      <c r="N29" s="33"/>
      <c r="O29" s="33"/>
      <c r="P29" s="33"/>
      <c r="Q29" s="33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</row>
    <row r="30" spans="1:227" ht="17.649999999999999" customHeight="1" x14ac:dyDescent="0.35">
      <c r="A30" s="122" t="s">
        <v>101</v>
      </c>
      <c r="B30" s="128">
        <v>0</v>
      </c>
      <c r="C30" s="174"/>
      <c r="D30" s="124">
        <v>59062</v>
      </c>
      <c r="E30" s="174"/>
      <c r="F30" s="124">
        <v>2406</v>
      </c>
      <c r="G30" s="174"/>
      <c r="H30" s="124">
        <v>1480</v>
      </c>
      <c r="I30" s="174"/>
      <c r="J30" s="124">
        <v>181</v>
      </c>
      <c r="K30" s="174"/>
      <c r="L30" s="124">
        <v>555</v>
      </c>
      <c r="M30" s="174"/>
      <c r="N30" s="33"/>
      <c r="O30" s="33"/>
      <c r="P30" s="33"/>
      <c r="Q30" s="33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</row>
    <row r="31" spans="1:227" ht="17.649999999999999" customHeight="1" x14ac:dyDescent="0.35">
      <c r="A31" s="122" t="s">
        <v>26</v>
      </c>
      <c r="B31" s="128">
        <v>0</v>
      </c>
      <c r="C31" s="174"/>
      <c r="D31" s="124">
        <v>60163</v>
      </c>
      <c r="E31" s="174"/>
      <c r="F31" s="124">
        <v>1808</v>
      </c>
      <c r="G31" s="174"/>
      <c r="H31" s="124">
        <v>1582</v>
      </c>
      <c r="I31" s="174"/>
      <c r="J31" s="124">
        <v>150</v>
      </c>
      <c r="K31" s="174"/>
      <c r="L31" s="124">
        <v>358</v>
      </c>
      <c r="M31" s="174"/>
      <c r="N31" s="33"/>
      <c r="O31" s="33"/>
      <c r="P31" s="33"/>
      <c r="Q31" s="33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</row>
    <row r="32" spans="1:227" ht="17.649999999999999" customHeight="1" x14ac:dyDescent="0.35">
      <c r="A32" s="122" t="s">
        <v>27</v>
      </c>
      <c r="B32" s="128">
        <v>0</v>
      </c>
      <c r="C32" s="174"/>
      <c r="D32" s="124">
        <v>60355</v>
      </c>
      <c r="E32" s="174"/>
      <c r="F32" s="124">
        <v>2580</v>
      </c>
      <c r="G32" s="174"/>
      <c r="H32" s="124">
        <v>1582</v>
      </c>
      <c r="I32" s="174"/>
      <c r="J32" s="124">
        <v>169</v>
      </c>
      <c r="K32" s="174"/>
      <c r="L32" s="124">
        <v>563</v>
      </c>
      <c r="M32" s="174"/>
      <c r="N32" s="33"/>
      <c r="O32" s="33"/>
      <c r="P32" s="33"/>
      <c r="Q32" s="33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</row>
    <row r="33" spans="1:227" ht="17.649999999999999" customHeight="1" x14ac:dyDescent="0.35">
      <c r="A33" s="122" t="s">
        <v>102</v>
      </c>
      <c r="B33" s="128">
        <v>0</v>
      </c>
      <c r="C33" s="174"/>
      <c r="D33" s="124">
        <v>60323</v>
      </c>
      <c r="E33" s="174"/>
      <c r="F33" s="124">
        <v>923</v>
      </c>
      <c r="G33" s="174"/>
      <c r="H33" s="124">
        <v>675</v>
      </c>
      <c r="I33" s="174"/>
      <c r="J33" s="124">
        <v>218</v>
      </c>
      <c r="K33" s="174"/>
      <c r="L33" s="124">
        <v>41</v>
      </c>
      <c r="M33" s="174"/>
      <c r="N33" s="33"/>
      <c r="O33" s="33"/>
      <c r="P33" s="33"/>
      <c r="Q33" s="33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</row>
    <row r="34" spans="1:227" ht="17.649999999999999" customHeight="1" x14ac:dyDescent="0.35">
      <c r="A34" s="122" t="s">
        <v>103</v>
      </c>
      <c r="B34" s="128">
        <v>0</v>
      </c>
      <c r="C34" s="174"/>
      <c r="D34" s="124">
        <v>54643</v>
      </c>
      <c r="E34" s="174"/>
      <c r="F34" s="124">
        <v>1191</v>
      </c>
      <c r="G34" s="174"/>
      <c r="H34" s="124">
        <v>469</v>
      </c>
      <c r="I34" s="174"/>
      <c r="J34" s="124">
        <v>197</v>
      </c>
      <c r="K34" s="174"/>
      <c r="L34" s="124">
        <v>320</v>
      </c>
      <c r="M34" s="174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</row>
    <row r="35" spans="1:227" ht="15" customHeight="1" x14ac:dyDescent="0.35">
      <c r="A35" s="122" t="s">
        <v>104</v>
      </c>
      <c r="B35" s="128">
        <v>0</v>
      </c>
      <c r="C35" s="174"/>
      <c r="D35" s="124">
        <v>43161</v>
      </c>
      <c r="E35" s="174"/>
      <c r="F35" s="124">
        <v>2980</v>
      </c>
      <c r="G35" s="174"/>
      <c r="H35" s="124">
        <v>1093</v>
      </c>
      <c r="I35" s="174"/>
      <c r="J35" s="124">
        <v>262</v>
      </c>
      <c r="K35" s="174"/>
      <c r="L35" s="124">
        <v>478</v>
      </c>
      <c r="M35" s="174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</row>
    <row r="36" spans="1:227" ht="15" customHeight="1" x14ac:dyDescent="0.35">
      <c r="A36" s="122" t="s">
        <v>28</v>
      </c>
      <c r="B36" s="124">
        <v>475</v>
      </c>
      <c r="C36" s="174"/>
      <c r="D36" s="124">
        <v>59369</v>
      </c>
      <c r="E36" s="174"/>
      <c r="F36" s="124">
        <v>1885</v>
      </c>
      <c r="G36" s="174"/>
      <c r="H36" s="124">
        <v>1592</v>
      </c>
      <c r="I36" s="174"/>
      <c r="J36" s="124">
        <v>306</v>
      </c>
      <c r="K36" s="174"/>
      <c r="L36" s="124">
        <v>389</v>
      </c>
      <c r="M36" s="174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</row>
    <row r="37" spans="1:227" ht="17.649999999999999" customHeight="1" x14ac:dyDescent="0.35">
      <c r="A37" s="122" t="s">
        <v>29</v>
      </c>
      <c r="B37" s="124">
        <v>210</v>
      </c>
      <c r="C37" s="174"/>
      <c r="D37" s="124">
        <v>49839</v>
      </c>
      <c r="E37" s="174"/>
      <c r="F37" s="124">
        <v>1859</v>
      </c>
      <c r="G37" s="174"/>
      <c r="H37" s="124">
        <v>1869</v>
      </c>
      <c r="I37" s="174"/>
      <c r="J37" s="124">
        <v>372</v>
      </c>
      <c r="K37" s="174"/>
      <c r="L37" s="124">
        <v>483</v>
      </c>
      <c r="M37" s="174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</row>
    <row r="38" spans="1:227" ht="17.649999999999999" customHeight="1" x14ac:dyDescent="0.35">
      <c r="A38" s="122" t="s">
        <v>30</v>
      </c>
      <c r="B38" s="124">
        <v>520</v>
      </c>
      <c r="C38" s="174"/>
      <c r="D38" s="124">
        <v>71959</v>
      </c>
      <c r="E38" s="174"/>
      <c r="F38" s="124">
        <v>2279</v>
      </c>
      <c r="G38" s="174"/>
      <c r="H38" s="124">
        <v>522</v>
      </c>
      <c r="I38" s="174"/>
      <c r="J38" s="124">
        <v>314</v>
      </c>
      <c r="K38" s="174"/>
      <c r="L38" s="124">
        <v>468</v>
      </c>
      <c r="M38" s="174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</row>
    <row r="39" spans="1:227" ht="17.649999999999999" customHeight="1" x14ac:dyDescent="0.35">
      <c r="A39" s="122" t="s">
        <v>31</v>
      </c>
      <c r="B39" s="124">
        <v>434</v>
      </c>
      <c r="C39" s="174"/>
      <c r="D39" s="124">
        <v>50428</v>
      </c>
      <c r="E39" s="174"/>
      <c r="F39" s="124">
        <v>1416</v>
      </c>
      <c r="G39" s="174"/>
      <c r="H39" s="124">
        <v>780</v>
      </c>
      <c r="I39" s="174"/>
      <c r="J39" s="124">
        <v>294</v>
      </c>
      <c r="K39" s="174"/>
      <c r="L39" s="124">
        <v>322</v>
      </c>
      <c r="M39" s="174"/>
      <c r="N39" s="33"/>
      <c r="O39" s="33"/>
      <c r="P39" s="33"/>
      <c r="Q39" s="3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</row>
    <row r="40" spans="1:227" ht="17.649999999999999" customHeight="1" x14ac:dyDescent="0.35">
      <c r="A40" s="122" t="s">
        <v>32</v>
      </c>
      <c r="B40" s="124">
        <v>567</v>
      </c>
      <c r="C40" s="174"/>
      <c r="D40" s="124">
        <v>47663</v>
      </c>
      <c r="E40" s="174"/>
      <c r="F40" s="124">
        <v>1586</v>
      </c>
      <c r="G40" s="174"/>
      <c r="H40" s="124">
        <v>1123</v>
      </c>
      <c r="I40" s="174"/>
      <c r="J40" s="124">
        <v>272</v>
      </c>
      <c r="K40" s="174"/>
      <c r="L40" s="124">
        <v>444</v>
      </c>
      <c r="M40" s="174"/>
      <c r="N40" s="33"/>
      <c r="O40" s="33"/>
      <c r="P40" s="33"/>
      <c r="Q40" s="3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</row>
    <row r="41" spans="1:227" ht="17.649999999999999" customHeight="1" x14ac:dyDescent="0.35">
      <c r="A41" s="122" t="s">
        <v>33</v>
      </c>
      <c r="B41" s="124">
        <v>571</v>
      </c>
      <c r="C41" s="174"/>
      <c r="D41" s="124">
        <v>32593</v>
      </c>
      <c r="E41" s="174"/>
      <c r="F41" s="124">
        <v>1984</v>
      </c>
      <c r="G41" s="174"/>
      <c r="H41" s="124">
        <v>1439</v>
      </c>
      <c r="I41" s="174"/>
      <c r="J41" s="124">
        <v>298</v>
      </c>
      <c r="K41" s="174"/>
      <c r="L41" s="124">
        <v>441</v>
      </c>
      <c r="M41" s="174"/>
      <c r="N41" s="33"/>
      <c r="O41" s="33"/>
      <c r="P41" s="33"/>
      <c r="Q41" s="33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</row>
    <row r="42" spans="1:227" ht="17.649999999999999" customHeight="1" x14ac:dyDescent="0.35">
      <c r="A42" s="122" t="s">
        <v>34</v>
      </c>
      <c r="B42" s="124">
        <v>625</v>
      </c>
      <c r="C42" s="174"/>
      <c r="D42" s="124">
        <v>426</v>
      </c>
      <c r="E42" s="174"/>
      <c r="F42" s="124">
        <v>1033</v>
      </c>
      <c r="G42" s="174"/>
      <c r="H42" s="124">
        <v>237</v>
      </c>
      <c r="I42" s="174"/>
      <c r="J42" s="124">
        <v>144</v>
      </c>
      <c r="K42" s="174"/>
      <c r="L42" s="124">
        <v>181</v>
      </c>
      <c r="M42" s="174"/>
      <c r="N42" s="33"/>
      <c r="O42" s="33"/>
      <c r="P42" s="33"/>
      <c r="Q42" s="3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</row>
    <row r="43" spans="1:227" ht="17.649999999999999" customHeight="1" x14ac:dyDescent="0.3">
      <c r="A43" s="122" t="s">
        <v>35</v>
      </c>
      <c r="B43" s="124">
        <v>89</v>
      </c>
      <c r="C43" s="124"/>
      <c r="D43" s="128">
        <v>0</v>
      </c>
      <c r="E43" s="124"/>
      <c r="F43" s="124">
        <v>1017</v>
      </c>
      <c r="G43" s="124"/>
      <c r="H43" s="124">
        <v>1121</v>
      </c>
      <c r="I43" s="124"/>
      <c r="J43" s="128">
        <v>0</v>
      </c>
      <c r="K43" s="124"/>
      <c r="L43" s="124">
        <v>347</v>
      </c>
      <c r="M43" s="124"/>
      <c r="N43" s="9"/>
      <c r="O43" s="9"/>
      <c r="P43" s="9"/>
      <c r="Q43" s="9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227" ht="17.649999999999999" customHeight="1" x14ac:dyDescent="0.3">
      <c r="A44" s="122" t="s">
        <v>36</v>
      </c>
      <c r="B44" s="124">
        <v>432</v>
      </c>
      <c r="C44" s="124"/>
      <c r="D44" s="166">
        <v>50203</v>
      </c>
      <c r="E44" s="124"/>
      <c r="F44" s="124">
        <v>1140</v>
      </c>
      <c r="G44" s="124"/>
      <c r="H44" s="124">
        <v>1132</v>
      </c>
      <c r="I44" s="124"/>
      <c r="J44" s="166">
        <v>0</v>
      </c>
      <c r="K44" s="124"/>
      <c r="L44" s="124">
        <v>1342</v>
      </c>
      <c r="M44" s="124"/>
      <c r="N44" s="9"/>
      <c r="O44" s="9"/>
      <c r="P44" s="9"/>
      <c r="Q44" s="9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227" ht="17.649999999999999" customHeight="1" x14ac:dyDescent="0.3">
      <c r="A45" s="122" t="s">
        <v>37</v>
      </c>
      <c r="B45" s="124">
        <v>394</v>
      </c>
      <c r="C45" s="124"/>
      <c r="D45" s="166">
        <v>29866</v>
      </c>
      <c r="E45" s="124"/>
      <c r="F45" s="124">
        <v>2171</v>
      </c>
      <c r="G45" s="124"/>
      <c r="H45" s="124">
        <v>801</v>
      </c>
      <c r="I45" s="124"/>
      <c r="J45" s="166">
        <v>288</v>
      </c>
      <c r="K45" s="124"/>
      <c r="L45" s="124">
        <v>625</v>
      </c>
      <c r="M45" s="124"/>
      <c r="N45" s="9"/>
      <c r="O45" s="9"/>
      <c r="P45" s="9"/>
      <c r="Q45" s="9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227" ht="17.649999999999999" customHeight="1" x14ac:dyDescent="0.3">
      <c r="A46" s="122" t="s">
        <v>38</v>
      </c>
      <c r="B46" s="124">
        <v>563</v>
      </c>
      <c r="C46" s="124"/>
      <c r="D46" s="166">
        <v>72678</v>
      </c>
      <c r="E46" s="124"/>
      <c r="F46" s="124">
        <v>1588</v>
      </c>
      <c r="G46" s="124"/>
      <c r="H46" s="124">
        <v>1677</v>
      </c>
      <c r="I46" s="124"/>
      <c r="J46" s="166">
        <v>468</v>
      </c>
      <c r="K46" s="124"/>
      <c r="L46" s="124">
        <v>420</v>
      </c>
      <c r="M46" s="124"/>
      <c r="N46" s="9"/>
      <c r="O46" s="9"/>
      <c r="P46" s="9"/>
      <c r="Q46" s="9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227" ht="17.649999999999999" customHeight="1" x14ac:dyDescent="0.3">
      <c r="A47" s="122" t="s">
        <v>39</v>
      </c>
      <c r="B47" s="124">
        <v>460</v>
      </c>
      <c r="C47" s="124"/>
      <c r="D47" s="166">
        <v>55268</v>
      </c>
      <c r="E47" s="124"/>
      <c r="F47" s="124">
        <v>1415</v>
      </c>
      <c r="G47" s="124"/>
      <c r="H47" s="124">
        <v>1249</v>
      </c>
      <c r="I47" s="124"/>
      <c r="J47" s="166">
        <v>378</v>
      </c>
      <c r="K47" s="124"/>
      <c r="L47" s="124">
        <v>440</v>
      </c>
      <c r="M47" s="124"/>
      <c r="N47" s="9"/>
      <c r="O47" s="9"/>
      <c r="P47" s="9"/>
      <c r="Q47" s="9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227" ht="17.649999999999999" customHeight="1" x14ac:dyDescent="0.3">
      <c r="A48" s="122" t="s">
        <v>40</v>
      </c>
      <c r="B48" s="124">
        <v>490</v>
      </c>
      <c r="C48" s="124"/>
      <c r="D48" s="166">
        <v>45089</v>
      </c>
      <c r="E48" s="124"/>
      <c r="F48" s="124">
        <v>2400</v>
      </c>
      <c r="G48" s="124"/>
      <c r="H48" s="124">
        <v>1243</v>
      </c>
      <c r="I48" s="124"/>
      <c r="J48" s="166">
        <v>404</v>
      </c>
      <c r="K48" s="124"/>
      <c r="L48" s="124">
        <v>462</v>
      </c>
      <c r="M48" s="124"/>
      <c r="N48" s="9"/>
      <c r="O48" s="9"/>
      <c r="P48" s="9"/>
      <c r="Q48" s="9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5" ht="17.649999999999999" customHeight="1" x14ac:dyDescent="0.3">
      <c r="A49" s="122" t="s">
        <v>41</v>
      </c>
      <c r="B49" s="124">
        <f>[2]ActualDeliveries!F$75</f>
        <v>550</v>
      </c>
      <c r="C49" s="124"/>
      <c r="D49" s="124">
        <v>16752</v>
      </c>
      <c r="E49" s="124"/>
      <c r="F49" s="124">
        <f>[2]ActualDeliveries!F$77</f>
        <v>1014</v>
      </c>
      <c r="G49" s="124"/>
      <c r="H49" s="124">
        <f>[2]ActualDeliveries!F$78</f>
        <v>483</v>
      </c>
      <c r="I49" s="124"/>
      <c r="J49" s="124">
        <f>[2]ActualDeliveries!F$79</f>
        <v>280</v>
      </c>
      <c r="K49" s="124"/>
      <c r="L49" s="124">
        <f>[2]ActualDeliveries!F$80</f>
        <v>456</v>
      </c>
      <c r="M49" s="124"/>
      <c r="N49" s="9"/>
      <c r="O49" s="9"/>
      <c r="P49" s="9"/>
      <c r="Q49" s="9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5" ht="17.649999999999999" customHeight="1" x14ac:dyDescent="0.3">
      <c r="A50" s="122" t="s">
        <v>42</v>
      </c>
      <c r="B50" s="124">
        <f t="shared" ref="B50:B58" si="0">B$60</f>
        <v>425.42857142857144</v>
      </c>
      <c r="C50" s="124"/>
      <c r="D50" s="124">
        <f t="shared" ref="D50:D58" si="1">D$60</f>
        <v>38550.857142857145</v>
      </c>
      <c r="E50" s="124"/>
      <c r="F50" s="124">
        <f t="shared" ref="F50:F58" si="2">F$60</f>
        <v>1535</v>
      </c>
      <c r="G50" s="124"/>
      <c r="H50" s="124">
        <f t="shared" ref="H50:H58" si="3">H$60</f>
        <v>1100.8571428571429</v>
      </c>
      <c r="I50" s="124"/>
      <c r="J50" s="124">
        <f t="shared" ref="J50:J58" si="4">J$60</f>
        <v>259.71428571428572</v>
      </c>
      <c r="K50" s="124"/>
      <c r="L50" s="124">
        <f t="shared" ref="L50:L58" si="5">L$60</f>
        <v>584.57142857142856</v>
      </c>
      <c r="M50" s="124"/>
      <c r="N50" s="9"/>
      <c r="O50" s="9"/>
      <c r="P50" s="9"/>
      <c r="Q50" s="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5" ht="17.649999999999999" customHeight="1" x14ac:dyDescent="0.3">
      <c r="A51" s="122" t="s">
        <v>43</v>
      </c>
      <c r="B51" s="124">
        <f t="shared" si="0"/>
        <v>425.42857142857144</v>
      </c>
      <c r="C51" s="124">
        <f>ROUND(B51*[2]Manual_Input!K55,6)</f>
        <v>415.55717399999997</v>
      </c>
      <c r="D51" s="124">
        <f t="shared" si="1"/>
        <v>38550.857142857145</v>
      </c>
      <c r="E51" s="124">
        <f>ROUND(D51*[2]Manual_Input!K55,6)</f>
        <v>37656.345415000003</v>
      </c>
      <c r="F51" s="124">
        <f t="shared" si="2"/>
        <v>1535</v>
      </c>
      <c r="G51" s="124">
        <f>ROUND(F51*[2]Manual_Input!K55,6)</f>
        <v>1499.38275</v>
      </c>
      <c r="H51" s="124">
        <f t="shared" si="3"/>
        <v>1100.8571428571429</v>
      </c>
      <c r="I51" s="124">
        <f>ROUND(H51*[2]Manual_Input!K55,6)</f>
        <v>1075.313492</v>
      </c>
      <c r="J51" s="124">
        <f t="shared" si="4"/>
        <v>259.71428571428572</v>
      </c>
      <c r="K51" s="124">
        <f>ROUND(J51*[2]Manual_Input!K55,6)</f>
        <v>253.68802600000001</v>
      </c>
      <c r="L51" s="124">
        <f t="shared" si="5"/>
        <v>584.57142857142856</v>
      </c>
      <c r="M51" s="124">
        <f>ROUND(L51*[2]Manual_Input!K55,6)</f>
        <v>571.00737200000003</v>
      </c>
      <c r="N51" s="9"/>
      <c r="O51" s="9"/>
      <c r="P51" s="9"/>
      <c r="Q51" s="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5" ht="17.649999999999999" customHeight="1" x14ac:dyDescent="0.3">
      <c r="A52" s="122" t="s">
        <v>44</v>
      </c>
      <c r="B52" s="124">
        <f t="shared" si="0"/>
        <v>425.42857142857144</v>
      </c>
      <c r="C52" s="124">
        <f>ROUND(B52*[2]Manual_Input!K56,6)</f>
        <v>405.91482600000001</v>
      </c>
      <c r="D52" s="124">
        <f t="shared" si="1"/>
        <v>38550.857142857145</v>
      </c>
      <c r="E52" s="124">
        <f>ROUND(D52*[2]Manual_Input!K56,6)</f>
        <v>36782.589418000003</v>
      </c>
      <c r="F52" s="124">
        <f t="shared" si="2"/>
        <v>1535</v>
      </c>
      <c r="G52" s="124">
        <f>ROUND(F52*[2]Manual_Input!K56,6)</f>
        <v>1464.5919429999999</v>
      </c>
      <c r="H52" s="124">
        <f t="shared" si="3"/>
        <v>1100.8571428571429</v>
      </c>
      <c r="I52" s="124">
        <f>ROUND(H52*[2]Manual_Input!K56,6)</f>
        <v>1050.3625420000001</v>
      </c>
      <c r="J52" s="124">
        <f t="shared" si="4"/>
        <v>259.71428571428572</v>
      </c>
      <c r="K52" s="124">
        <f>ROUND(J52*[2]Manual_Input!K56,6)</f>
        <v>247.80159599999999</v>
      </c>
      <c r="L52" s="124">
        <f t="shared" si="5"/>
        <v>584.57142857142856</v>
      </c>
      <c r="M52" s="124">
        <f>ROUND(L52*[2]Manual_Input!K56,6)</f>
        <v>557.75804800000003</v>
      </c>
      <c r="N52" s="9"/>
      <c r="O52" s="9"/>
      <c r="P52" s="9"/>
      <c r="Q52" s="9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5" ht="17.649999999999999" customHeight="1" x14ac:dyDescent="0.3">
      <c r="A53" s="122" t="s">
        <v>45</v>
      </c>
      <c r="B53" s="124">
        <f t="shared" si="0"/>
        <v>425.42857142857144</v>
      </c>
      <c r="C53" s="124">
        <f>ROUND(B53*[2]Manual_Input!K57,6)</f>
        <v>396.49621400000001</v>
      </c>
      <c r="D53" s="124">
        <f t="shared" si="1"/>
        <v>38550.857142857145</v>
      </c>
      <c r="E53" s="124">
        <f>ROUND(D53*[2]Manual_Input!K57,6)</f>
        <v>35929.107548</v>
      </c>
      <c r="F53" s="124">
        <f t="shared" si="2"/>
        <v>1535</v>
      </c>
      <c r="G53" s="124">
        <f>ROUND(F53*[2]Manual_Input!K57,6)</f>
        <v>1430.608401</v>
      </c>
      <c r="H53" s="124">
        <f t="shared" si="3"/>
        <v>1100.8571428571429</v>
      </c>
      <c r="I53" s="124">
        <f>ROUND(H53*[2]Manual_Input!K57,6)</f>
        <v>1025.9905389999999</v>
      </c>
      <c r="J53" s="124">
        <f t="shared" si="4"/>
        <v>259.71428571428572</v>
      </c>
      <c r="K53" s="124">
        <f>ROUND(J53*[2]Manual_Input!K57,6)</f>
        <v>242.05175199999999</v>
      </c>
      <c r="L53" s="124">
        <f t="shared" si="5"/>
        <v>584.57142857142856</v>
      </c>
      <c r="M53" s="124">
        <f>ROUND(L53*[2]Manual_Input!K57,6)</f>
        <v>544.81615399999998</v>
      </c>
      <c r="N53" s="9"/>
      <c r="O53" s="9"/>
      <c r="P53" s="9"/>
      <c r="Q53" s="9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5" ht="17.649999999999999" customHeight="1" x14ac:dyDescent="0.3">
      <c r="A54" s="122" t="s">
        <v>46</v>
      </c>
      <c r="B54" s="124">
        <f t="shared" si="0"/>
        <v>425.42857142857144</v>
      </c>
      <c r="C54" s="124">
        <f>ROUND(B54*[2]Manual_Input!K58,6)</f>
        <v>387.29614600000002</v>
      </c>
      <c r="D54" s="124">
        <f t="shared" si="1"/>
        <v>38550.857142857145</v>
      </c>
      <c r="E54" s="124">
        <f>ROUND(D54*[2]Manual_Input!K58,6)</f>
        <v>35095.429377</v>
      </c>
      <c r="F54" s="124">
        <f t="shared" si="2"/>
        <v>1535</v>
      </c>
      <c r="G54" s="124">
        <f>ROUND(F54*[2]Manual_Input!K58,6)</f>
        <v>1397.413393</v>
      </c>
      <c r="H54" s="124">
        <f t="shared" si="3"/>
        <v>1100.8571428571429</v>
      </c>
      <c r="I54" s="124">
        <f>ROUND(H54*[2]Manual_Input!K58,6)</f>
        <v>1002.184049</v>
      </c>
      <c r="J54" s="124">
        <f t="shared" si="4"/>
        <v>259.71428571428572</v>
      </c>
      <c r="K54" s="124">
        <f>ROUND(J54*[2]Manual_Input!K58,6)</f>
        <v>236.43532300000001</v>
      </c>
      <c r="L54" s="124">
        <f t="shared" si="5"/>
        <v>584.57142857142856</v>
      </c>
      <c r="M54" s="124">
        <f>ROUND(L54*[2]Manual_Input!K58,6)</f>
        <v>532.17455600000005</v>
      </c>
      <c r="N54" s="9"/>
      <c r="O54" s="9"/>
      <c r="P54" s="9"/>
      <c r="Q54" s="9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5" ht="17.649999999999999" customHeight="1" x14ac:dyDescent="0.3">
      <c r="A55" s="122" t="s">
        <v>47</v>
      </c>
      <c r="B55" s="124">
        <f t="shared" si="0"/>
        <v>425.42857142857144</v>
      </c>
      <c r="C55" s="124">
        <f>ROUND(B55*[2]Manual_Input!K59,6)</f>
        <v>378.309551</v>
      </c>
      <c r="D55" s="124">
        <f t="shared" si="1"/>
        <v>38550.857142857145</v>
      </c>
      <c r="E55" s="124">
        <f>ROUND(D55*[2]Manual_Input!K59,6)</f>
        <v>34281.095390000002</v>
      </c>
      <c r="F55" s="124">
        <f t="shared" si="2"/>
        <v>1535</v>
      </c>
      <c r="G55" s="124">
        <f>ROUND(F55*[2]Manual_Input!K59,6)</f>
        <v>1364.988623</v>
      </c>
      <c r="H55" s="124">
        <f t="shared" si="3"/>
        <v>1100.8571428571429</v>
      </c>
      <c r="I55" s="124">
        <f>ROUND(H55*[2]Manual_Input!K59,6)</f>
        <v>978.92995199999996</v>
      </c>
      <c r="J55" s="124">
        <f t="shared" si="4"/>
        <v>259.71428571428572</v>
      </c>
      <c r="K55" s="124">
        <f>ROUND(J55*[2]Manual_Input!K59,6)</f>
        <v>230.94921500000001</v>
      </c>
      <c r="L55" s="124">
        <f t="shared" si="5"/>
        <v>584.57142857142856</v>
      </c>
      <c r="M55" s="124">
        <f>ROUND(L55*[2]Manual_Input!K59,6)</f>
        <v>519.82628599999998</v>
      </c>
      <c r="N55" s="9"/>
      <c r="O55" s="9"/>
      <c r="P55" s="9"/>
      <c r="Q55" s="9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5" ht="17.649999999999999" customHeight="1" x14ac:dyDescent="0.3">
      <c r="A56" s="122" t="s">
        <v>48</v>
      </c>
      <c r="B56" s="124">
        <f t="shared" si="0"/>
        <v>425.42857142857144</v>
      </c>
      <c r="C56" s="124">
        <f>ROUND(B56*[2]Manual_Input!K60,6)</f>
        <v>369.531475</v>
      </c>
      <c r="D56" s="124">
        <f t="shared" si="1"/>
        <v>38550.857142857145</v>
      </c>
      <c r="E56" s="124">
        <f>ROUND(D56*[2]Manual_Input!K60,6)</f>
        <v>33485.656736999998</v>
      </c>
      <c r="F56" s="124">
        <f t="shared" si="2"/>
        <v>1535</v>
      </c>
      <c r="G56" s="124">
        <f>ROUND(F56*[2]Manual_Input!K60,6)</f>
        <v>1333.316219</v>
      </c>
      <c r="H56" s="124">
        <f t="shared" si="3"/>
        <v>1100.8571428571429</v>
      </c>
      <c r="I56" s="124">
        <f>ROUND(H56*[2]Manual_Input!K60,6)</f>
        <v>956.21542899999997</v>
      </c>
      <c r="J56" s="124">
        <f t="shared" si="4"/>
        <v>259.71428571428572</v>
      </c>
      <c r="K56" s="124">
        <f>ROUND(J56*[2]Manual_Input!K60,6)</f>
        <v>225.59040400000001</v>
      </c>
      <c r="L56" s="124">
        <f t="shared" si="5"/>
        <v>584.57142857142856</v>
      </c>
      <c r="M56" s="124">
        <f>ROUND(L56*[2]Manual_Input!K60,6)</f>
        <v>507.76453900000001</v>
      </c>
      <c r="N56" s="9"/>
      <c r="O56" s="9"/>
      <c r="P56" s="9"/>
      <c r="Q56" s="9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5" ht="17.649999999999999" customHeight="1" x14ac:dyDescent="0.3">
      <c r="A57" s="122" t="s">
        <v>49</v>
      </c>
      <c r="B57" s="124">
        <f t="shared" si="0"/>
        <v>425.42857142857144</v>
      </c>
      <c r="C57" s="124">
        <f>ROUND(B57*[2]Manual_Input!K61,6)</f>
        <v>360.95708100000002</v>
      </c>
      <c r="D57" s="124">
        <f t="shared" si="1"/>
        <v>38550.857142857145</v>
      </c>
      <c r="E57" s="124">
        <f>ROUND(D57*[2]Manual_Input!K61,6)</f>
        <v>32708.674981</v>
      </c>
      <c r="F57" s="124">
        <f t="shared" si="2"/>
        <v>1535</v>
      </c>
      <c r="G57" s="124">
        <f>ROUND(F57*[2]Manual_Input!K61,6)</f>
        <v>1302.378723</v>
      </c>
      <c r="H57" s="124">
        <f t="shared" si="3"/>
        <v>1100.8571428571429</v>
      </c>
      <c r="I57" s="124">
        <f>ROUND(H57*[2]Manual_Input!K61,6)</f>
        <v>934.027961</v>
      </c>
      <c r="J57" s="124">
        <f t="shared" si="4"/>
        <v>259.71428571428572</v>
      </c>
      <c r="K57" s="124">
        <f>ROUND(J57*[2]Manual_Input!K61,6)</f>
        <v>220.35593499999999</v>
      </c>
      <c r="L57" s="124">
        <f t="shared" si="5"/>
        <v>584.57142857142856</v>
      </c>
      <c r="M57" s="124">
        <f>ROUND(L57*[2]Manual_Input!K61,6)</f>
        <v>495.982665</v>
      </c>
      <c r="N57" s="9"/>
      <c r="O57" s="9"/>
      <c r="P57" s="9"/>
      <c r="Q57" s="9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5" ht="17.649999999999999" customHeight="1" thickBot="1" x14ac:dyDescent="0.35">
      <c r="A58" s="122" t="s">
        <v>50</v>
      </c>
      <c r="B58" s="124">
        <f t="shared" si="0"/>
        <v>425.42857142857144</v>
      </c>
      <c r="C58" s="124">
        <f>ROUND(B58*[2]Manual_Input!K62,6)</f>
        <v>352.58164199999999</v>
      </c>
      <c r="D58" s="124">
        <f t="shared" si="1"/>
        <v>38550.857142857145</v>
      </c>
      <c r="E58" s="124">
        <f>ROUND(D58*[2]Manual_Input!K62,6)</f>
        <v>31949.721859000001</v>
      </c>
      <c r="F58" s="124">
        <f t="shared" si="2"/>
        <v>1535</v>
      </c>
      <c r="G58" s="124">
        <f>ROUND(F58*[2]Manual_Input!K62,6)</f>
        <v>1272.159083</v>
      </c>
      <c r="H58" s="124">
        <f t="shared" si="3"/>
        <v>1100.8571428571429</v>
      </c>
      <c r="I58" s="124">
        <f>ROUND(H58*[2]Manual_Input!K62,6)</f>
        <v>912.35531800000001</v>
      </c>
      <c r="J58" s="124">
        <f t="shared" si="4"/>
        <v>259.71428571428572</v>
      </c>
      <c r="K58" s="124">
        <f>ROUND(J58*[2]Manual_Input!K62,6)</f>
        <v>215.24292299999999</v>
      </c>
      <c r="L58" s="124">
        <f t="shared" si="5"/>
        <v>584.57142857142856</v>
      </c>
      <c r="M58" s="124">
        <f>ROUND(L58*[2]Manual_Input!K62,6)</f>
        <v>484.47417100000001</v>
      </c>
      <c r="N58" s="9"/>
      <c r="O58" s="9"/>
      <c r="P58" s="9"/>
      <c r="Q58" s="9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5" ht="17.649999999999999" customHeight="1" x14ac:dyDescent="0.3">
      <c r="A59" s="122" t="s">
        <v>51</v>
      </c>
      <c r="B59" s="133">
        <f t="shared" ref="B59:M59" si="6">SUM(B9:B58)</f>
        <v>29103.857142857152</v>
      </c>
      <c r="C59" s="133">
        <f t="shared" si="6"/>
        <v>3066.6441090000003</v>
      </c>
      <c r="D59" s="133">
        <f t="shared" si="6"/>
        <v>2293460.7142857146</v>
      </c>
      <c r="E59" s="133">
        <f t="shared" si="6"/>
        <v>277888.62072499999</v>
      </c>
      <c r="F59" s="133">
        <f t="shared" si="6"/>
        <v>83998</v>
      </c>
      <c r="G59" s="133">
        <f t="shared" si="6"/>
        <v>11064.839135</v>
      </c>
      <c r="H59" s="133">
        <f t="shared" si="6"/>
        <v>54205.714285714304</v>
      </c>
      <c r="I59" s="133">
        <f t="shared" si="6"/>
        <v>7935.3792819999999</v>
      </c>
      <c r="J59" s="133">
        <f t="shared" si="6"/>
        <v>7437.4285714285679</v>
      </c>
      <c r="K59" s="133">
        <f t="shared" si="6"/>
        <v>1872.1151740000003</v>
      </c>
      <c r="L59" s="133">
        <f t="shared" si="6"/>
        <v>16356.142857142864</v>
      </c>
      <c r="M59" s="133">
        <f t="shared" si="6"/>
        <v>4213.8037910000003</v>
      </c>
      <c r="N59" s="9"/>
      <c r="O59" s="9"/>
      <c r="P59" s="9"/>
      <c r="Q59" s="9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5" ht="17.649999999999999" customHeight="1" x14ac:dyDescent="0.3">
      <c r="A60" s="122" t="s">
        <v>72</v>
      </c>
      <c r="B60" s="124">
        <f>AVERAGE(B43:B49)</f>
        <v>425.42857142857144</v>
      </c>
      <c r="C60" s="124"/>
      <c r="D60" s="124">
        <f>AVERAGE(D43:D49)</f>
        <v>38550.857142857145</v>
      </c>
      <c r="E60" s="124"/>
      <c r="F60" s="124">
        <f>AVERAGE(F43:F49)</f>
        <v>1535</v>
      </c>
      <c r="G60" s="124"/>
      <c r="H60" s="124">
        <f>AVERAGE(H43:H49)</f>
        <v>1100.8571428571429</v>
      </c>
      <c r="I60" s="124"/>
      <c r="J60" s="124">
        <f>AVERAGE(J43:J49)</f>
        <v>259.71428571428572</v>
      </c>
      <c r="K60" s="124"/>
      <c r="L60" s="124">
        <f>AVERAGE(L43:L49)</f>
        <v>584.57142857142856</v>
      </c>
      <c r="M60" s="124"/>
      <c r="N60" s="9"/>
      <c r="O60" s="9"/>
      <c r="P60" s="9"/>
      <c r="Q60" s="9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>
        <f>AE59/17</f>
        <v>0</v>
      </c>
      <c r="AF60" s="14"/>
      <c r="AI60" s="11">
        <f>AI59/17</f>
        <v>0</v>
      </c>
    </row>
    <row r="61" spans="1:35" ht="17.649999999999999" customHeight="1" x14ac:dyDescent="0.3">
      <c r="A61" s="122" t="s">
        <v>53</v>
      </c>
      <c r="B61" s="125">
        <f>+SUM(B51:B58)</f>
        <v>3403.428571428572</v>
      </c>
      <c r="C61" s="125">
        <f t="shared" ref="C61:M61" si="7">+SUM(C51:C58)</f>
        <v>3066.6441090000003</v>
      </c>
      <c r="D61" s="125">
        <f t="shared" si="7"/>
        <v>308406.85714285722</v>
      </c>
      <c r="E61" s="125">
        <f t="shared" si="7"/>
        <v>277888.62072499999</v>
      </c>
      <c r="F61" s="125">
        <f t="shared" si="7"/>
        <v>12280</v>
      </c>
      <c r="G61" s="125">
        <f t="shared" si="7"/>
        <v>11064.839135</v>
      </c>
      <c r="H61" s="125">
        <f t="shared" si="7"/>
        <v>8806.8571428571431</v>
      </c>
      <c r="I61" s="125">
        <f t="shared" si="7"/>
        <v>7935.3792819999999</v>
      </c>
      <c r="J61" s="125">
        <f t="shared" si="7"/>
        <v>2077.7142857142858</v>
      </c>
      <c r="K61" s="125">
        <f t="shared" si="7"/>
        <v>1872.1151740000003</v>
      </c>
      <c r="L61" s="125">
        <f t="shared" si="7"/>
        <v>4676.5714285714284</v>
      </c>
      <c r="M61" s="125">
        <f t="shared" si="7"/>
        <v>4213.8037910000003</v>
      </c>
      <c r="N61" s="9"/>
      <c r="O61" s="9"/>
      <c r="P61" s="9"/>
      <c r="Q61" s="9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5" ht="24.9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O62" s="9"/>
      <c r="P62" s="9"/>
      <c r="Q62" s="9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5" ht="24.9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  <c r="O63" s="9"/>
      <c r="P63" s="9"/>
      <c r="Q63" s="9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5" ht="24.9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9"/>
      <c r="O64" s="9"/>
      <c r="P64" s="9"/>
      <c r="Q64" s="9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ht="24.95" customHeight="1" x14ac:dyDescent="0.2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  <c r="O65" s="9"/>
      <c r="P65" s="9"/>
      <c r="Q65" s="9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ht="15" customHeight="1" x14ac:dyDescent="0.2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</sheetData>
  <printOptions horizontalCentered="1"/>
  <pageMargins left="0" right="0" top="0" bottom="0" header="0.25" footer="0.25"/>
  <pageSetup scale="42" orientation="landscape" r:id="rId1"/>
  <headerFooter>
    <oddFooter>&amp;RSchedule A-13
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E183-66D3-4D08-841B-F9C41631FFC3}">
  <sheetPr transitionEvaluation="1" transitionEntry="1"/>
  <dimension ref="A1:HM69"/>
  <sheetViews>
    <sheetView showZeros="0" defaultGridColor="0" view="pageBreakPreview" topLeftCell="G1" colorId="22" zoomScaleNormal="70" zoomScaleSheetLayoutView="100" workbookViewId="0">
      <selection activeCell="M6" sqref="M6"/>
    </sheetView>
  </sheetViews>
  <sheetFormatPr defaultColWidth="9.77734375" defaultRowHeight="15" x14ac:dyDescent="0.2"/>
  <cols>
    <col min="1" max="1" width="23.6640625" style="35" customWidth="1"/>
    <col min="2" max="2" width="11" style="11" bestFit="1" customWidth="1"/>
    <col min="3" max="3" width="11.77734375" style="11" customWidth="1"/>
    <col min="4" max="4" width="9" style="11" bestFit="1" customWidth="1"/>
    <col min="5" max="5" width="11.21875" style="11" customWidth="1"/>
    <col min="6" max="6" width="11.44140625" style="11" customWidth="1"/>
    <col min="7" max="7" width="10.44140625" style="11" bestFit="1" customWidth="1"/>
    <col min="8" max="8" width="20.109375" style="11" customWidth="1"/>
    <col min="9" max="9" width="19.109375" style="11" customWidth="1"/>
    <col min="10" max="11" width="13.6640625" style="11" bestFit="1" customWidth="1"/>
    <col min="12" max="13" width="13.88671875" style="11" bestFit="1" customWidth="1"/>
    <col min="14" max="15" width="13.6640625" style="11" bestFit="1" customWidth="1"/>
    <col min="16" max="16" width="2.21875" style="11" customWidth="1"/>
    <col min="17" max="17" width="9.77734375" style="11"/>
    <col min="18" max="19" width="1.77734375" style="11" customWidth="1"/>
    <col min="20" max="21" width="9.77734375" style="11"/>
    <col min="22" max="22" width="2.77734375" style="11" customWidth="1"/>
    <col min="23" max="16384" width="9.77734375" style="11"/>
  </cols>
  <sheetData>
    <row r="1" spans="1:221" s="1" customFormat="1" ht="40.5" x14ac:dyDescent="0.35">
      <c r="A1" s="146" t="str">
        <f>[2]INFORMATION!A1</f>
        <v>M&amp;I 2023 Sch A-13 F.Z25.XLSM</v>
      </c>
      <c r="B1" s="152"/>
      <c r="C1" s="152"/>
      <c r="D1" s="152"/>
      <c r="E1" s="152"/>
      <c r="F1" s="118"/>
      <c r="G1" s="118"/>
      <c r="H1" s="118"/>
      <c r="I1" s="118"/>
      <c r="J1" s="118"/>
      <c r="K1" s="118"/>
      <c r="L1" s="118"/>
      <c r="M1" s="118"/>
      <c r="N1" s="118"/>
      <c r="O1" s="116"/>
      <c r="P1" s="22"/>
      <c r="Q1" s="22"/>
      <c r="X1" s="31"/>
    </row>
    <row r="2" spans="1:221" s="1" customFormat="1" ht="20.25" x14ac:dyDescent="0.35">
      <c r="A2" s="119" t="str">
        <f>[2]INFORMATION!A2</f>
        <v>09/13/2022</v>
      </c>
      <c r="B2" s="152"/>
      <c r="C2" s="152"/>
      <c r="D2" s="152"/>
      <c r="E2" s="152"/>
      <c r="F2" s="118"/>
      <c r="G2" s="118"/>
      <c r="H2" s="118"/>
      <c r="I2" s="118"/>
      <c r="J2" s="118"/>
      <c r="K2" s="118"/>
      <c r="L2" s="118"/>
      <c r="M2" s="118"/>
      <c r="N2" s="118"/>
      <c r="O2" s="116"/>
      <c r="P2" s="22"/>
      <c r="Q2" s="22"/>
      <c r="X2" s="31"/>
    </row>
    <row r="3" spans="1:221" s="1" customFormat="1" ht="40.5" x14ac:dyDescent="0.35">
      <c r="A3" s="191" t="str">
        <f>PAGE_1!A3</f>
        <v>CENTRAL VALLEY PROJECT</v>
      </c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22"/>
      <c r="Q3" s="22"/>
      <c r="X3" s="31"/>
    </row>
    <row r="4" spans="1:221" s="1" customFormat="1" ht="101.25" x14ac:dyDescent="0.35">
      <c r="A4" s="191" t="str">
        <f>PAGE_1!A4</f>
        <v>SCHEDULE OF HISTORICAL (1981-2021) &amp; PROJECTED (2022-2030) M&amp;I WATER DELIVERIES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22"/>
      <c r="Q4" s="22"/>
    </row>
    <row r="5" spans="1:221" s="1" customFormat="1" ht="162.75" thickBot="1" x14ac:dyDescent="0.4">
      <c r="A5" s="191" t="str">
        <f>PAGE_1!A5</f>
        <v xml:space="preserve">AND PRESENT WORTH @ .023755 FOR CALCULATION OF INDIVIDUAL CONTRACTOR PRORATED CONSTRUCTION COSTS AND RATE   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22"/>
      <c r="Q5" s="22"/>
    </row>
    <row r="6" spans="1:221" s="51" customFormat="1" ht="172.5" x14ac:dyDescent="0.3">
      <c r="A6" s="136" t="s">
        <v>0</v>
      </c>
      <c r="B6" s="193" t="s">
        <v>105</v>
      </c>
      <c r="C6" s="194" t="s">
        <v>106</v>
      </c>
      <c r="D6" s="193" t="s">
        <v>107</v>
      </c>
      <c r="E6" s="194" t="s">
        <v>108</v>
      </c>
      <c r="F6" s="193" t="s">
        <v>277</v>
      </c>
      <c r="G6" s="195" t="s">
        <v>278</v>
      </c>
      <c r="H6" s="196" t="s">
        <v>279</v>
      </c>
      <c r="I6" s="197" t="s">
        <v>280</v>
      </c>
      <c r="J6" s="198" t="s">
        <v>281</v>
      </c>
      <c r="K6" s="199" t="s">
        <v>282</v>
      </c>
      <c r="L6" s="199" t="s">
        <v>283</v>
      </c>
      <c r="M6" s="199" t="s">
        <v>284</v>
      </c>
      <c r="N6" s="199" t="s">
        <v>109</v>
      </c>
      <c r="O6" s="199" t="s">
        <v>110</v>
      </c>
      <c r="P6" s="50"/>
      <c r="AB6" s="52"/>
    </row>
    <row r="7" spans="1:221" ht="17.649999999999999" customHeight="1" x14ac:dyDescent="0.35">
      <c r="A7" s="129" t="s">
        <v>4</v>
      </c>
      <c r="B7" s="127">
        <v>0</v>
      </c>
      <c r="C7" s="174"/>
      <c r="D7" s="127">
        <v>0</v>
      </c>
      <c r="E7" s="174"/>
      <c r="F7" s="124">
        <f>+PAGE_6!B9+PAGE_6!D9+PAGE_6!F9+PAGE_6!H9+PAGE_6!J9+PAGE_6!L9+PAGE_7!B7+PAGE_7!D7</f>
        <v>44534</v>
      </c>
      <c r="G7" s="174"/>
      <c r="H7" s="124">
        <v>0</v>
      </c>
      <c r="I7" s="174"/>
      <c r="J7" s="124">
        <v>1912</v>
      </c>
      <c r="K7" s="174"/>
      <c r="L7" s="127">
        <v>0</v>
      </c>
      <c r="M7" s="174"/>
      <c r="N7" s="124">
        <v>200</v>
      </c>
      <c r="O7" s="174"/>
      <c r="P7" s="22"/>
      <c r="U7" s="1"/>
      <c r="V7" s="1"/>
      <c r="W7" s="1"/>
      <c r="X7" s="1"/>
      <c r="Y7" s="1"/>
      <c r="Z7" s="10"/>
      <c r="AA7" s="10"/>
      <c r="AB7" s="53"/>
      <c r="AC7" s="10"/>
      <c r="AD7" s="10"/>
      <c r="AE7" s="10"/>
      <c r="AF7" s="10"/>
      <c r="AG7" s="10"/>
      <c r="AH7" s="10"/>
      <c r="AI7" s="10"/>
      <c r="AJ7" s="10"/>
      <c r="AK7" s="10"/>
      <c r="AL7" s="54"/>
      <c r="AM7" s="54"/>
      <c r="AN7" s="54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</row>
    <row r="8" spans="1:221" ht="17.649999999999999" customHeight="1" x14ac:dyDescent="0.35">
      <c r="A8" s="129" t="s">
        <v>5</v>
      </c>
      <c r="B8" s="127">
        <v>0</v>
      </c>
      <c r="C8" s="174"/>
      <c r="D8" s="127">
        <v>0</v>
      </c>
      <c r="E8" s="174"/>
      <c r="F8" s="124">
        <f>+PAGE_6!B10+PAGE_6!D10+PAGE_6!F10+PAGE_6!H10+PAGE_6!J10+PAGE_6!L10+PAGE_7!B8+PAGE_7!D8</f>
        <v>10879</v>
      </c>
      <c r="G8" s="174"/>
      <c r="H8" s="124">
        <v>0</v>
      </c>
      <c r="I8" s="174"/>
      <c r="J8" s="124">
        <v>7089</v>
      </c>
      <c r="K8" s="174"/>
      <c r="L8" s="124">
        <v>640</v>
      </c>
      <c r="M8" s="174"/>
      <c r="N8" s="124">
        <v>41</v>
      </c>
      <c r="O8" s="174"/>
      <c r="P8" s="22"/>
      <c r="U8" s="1"/>
      <c r="V8" s="1"/>
      <c r="W8" s="1"/>
      <c r="X8" s="1"/>
      <c r="Y8" s="1"/>
      <c r="Z8" s="10"/>
      <c r="AA8" s="10"/>
      <c r="AB8" s="53"/>
      <c r="AC8" s="10"/>
      <c r="AD8" s="10"/>
      <c r="AE8" s="10"/>
      <c r="AF8" s="10"/>
      <c r="AG8" s="10"/>
      <c r="AH8" s="10"/>
      <c r="AI8" s="10"/>
      <c r="AJ8" s="10"/>
      <c r="AK8" s="10"/>
      <c r="AL8" s="54"/>
      <c r="AM8" s="54"/>
      <c r="AN8" s="54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</row>
    <row r="9" spans="1:221" ht="17.649999999999999" customHeight="1" x14ac:dyDescent="0.35">
      <c r="A9" s="129" t="s">
        <v>6</v>
      </c>
      <c r="B9" s="127">
        <v>0</v>
      </c>
      <c r="C9" s="174"/>
      <c r="D9" s="127">
        <v>0</v>
      </c>
      <c r="E9" s="174"/>
      <c r="F9" s="124">
        <f>+PAGE_6!B11+PAGE_6!D11+PAGE_6!F11+PAGE_6!H11+PAGE_6!J11+PAGE_6!L11+PAGE_7!B9+PAGE_7!D9</f>
        <v>44786</v>
      </c>
      <c r="G9" s="174"/>
      <c r="H9" s="124">
        <v>0</v>
      </c>
      <c r="I9" s="174"/>
      <c r="J9" s="124">
        <v>1961</v>
      </c>
      <c r="K9" s="174"/>
      <c r="L9" s="124">
        <v>644</v>
      </c>
      <c r="M9" s="174"/>
      <c r="N9" s="127">
        <v>0</v>
      </c>
      <c r="O9" s="174"/>
      <c r="P9" s="22"/>
      <c r="U9" s="1"/>
      <c r="V9" s="1"/>
      <c r="W9" s="1"/>
      <c r="X9" s="1"/>
      <c r="Y9" s="1"/>
      <c r="Z9" s="10"/>
      <c r="AA9" s="10"/>
      <c r="AB9" s="53"/>
      <c r="AC9" s="10"/>
      <c r="AD9" s="10"/>
      <c r="AE9" s="10"/>
      <c r="AF9" s="10"/>
      <c r="AG9" s="10"/>
      <c r="AH9" s="10"/>
      <c r="AI9" s="10"/>
      <c r="AJ9" s="10"/>
      <c r="AK9" s="10"/>
      <c r="AL9" s="54"/>
      <c r="AM9" s="54"/>
      <c r="AN9" s="54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</row>
    <row r="10" spans="1:221" ht="16.5" customHeight="1" x14ac:dyDescent="0.35">
      <c r="A10" s="129" t="s">
        <v>7</v>
      </c>
      <c r="B10" s="127">
        <v>0</v>
      </c>
      <c r="C10" s="174"/>
      <c r="D10" s="127">
        <v>0</v>
      </c>
      <c r="E10" s="174"/>
      <c r="F10" s="124">
        <f>+PAGE_6!B12+PAGE_6!D12+PAGE_6!F12+PAGE_6!H12+PAGE_6!J12+PAGE_6!L12+PAGE_7!B10+PAGE_7!D10</f>
        <v>53584</v>
      </c>
      <c r="G10" s="174"/>
      <c r="H10" s="124">
        <v>0</v>
      </c>
      <c r="I10" s="174"/>
      <c r="J10" s="124">
        <v>4672</v>
      </c>
      <c r="K10" s="174"/>
      <c r="L10" s="124">
        <v>527</v>
      </c>
      <c r="M10" s="174"/>
      <c r="N10" s="124">
        <v>200</v>
      </c>
      <c r="O10" s="174"/>
      <c r="P10" s="22"/>
      <c r="U10" s="1"/>
      <c r="V10" s="1"/>
      <c r="W10" s="1"/>
      <c r="X10" s="1"/>
      <c r="Y10" s="1"/>
      <c r="Z10" s="10"/>
      <c r="AA10" s="10"/>
      <c r="AB10" s="53"/>
      <c r="AC10" s="10"/>
      <c r="AD10" s="10"/>
      <c r="AE10" s="10"/>
      <c r="AF10" s="10"/>
      <c r="AG10" s="10"/>
      <c r="AH10" s="10"/>
      <c r="AI10" s="10"/>
      <c r="AJ10" s="10"/>
      <c r="AK10" s="10"/>
      <c r="AL10" s="54"/>
      <c r="AM10" s="54"/>
      <c r="AN10" s="54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</row>
    <row r="11" spans="1:221" ht="16.5" customHeight="1" x14ac:dyDescent="0.35">
      <c r="A11" s="129" t="s">
        <v>8</v>
      </c>
      <c r="B11" s="127">
        <v>0</v>
      </c>
      <c r="C11" s="174"/>
      <c r="D11" s="127">
        <v>0</v>
      </c>
      <c r="E11" s="174"/>
      <c r="F11" s="124">
        <f>+PAGE_6!B13+PAGE_6!D13+PAGE_6!F13+PAGE_6!H13+PAGE_6!J13+PAGE_6!L13+PAGE_7!B11+PAGE_7!D11</f>
        <v>56282</v>
      </c>
      <c r="G11" s="174"/>
      <c r="H11" s="124">
        <v>0</v>
      </c>
      <c r="I11" s="174"/>
      <c r="J11" s="124">
        <v>4271</v>
      </c>
      <c r="K11" s="174"/>
      <c r="L11" s="124">
        <v>535</v>
      </c>
      <c r="M11" s="174"/>
      <c r="N11" s="124">
        <v>20</v>
      </c>
      <c r="O11" s="174"/>
      <c r="P11" s="22"/>
      <c r="U11" s="1"/>
      <c r="V11" s="1"/>
      <c r="W11" s="1"/>
      <c r="X11" s="1"/>
      <c r="Y11" s="1"/>
      <c r="Z11" s="10"/>
      <c r="AA11" s="10"/>
      <c r="AB11" s="53"/>
      <c r="AC11" s="10"/>
      <c r="AD11" s="10"/>
      <c r="AE11" s="10"/>
      <c r="AF11" s="10"/>
      <c r="AG11" s="10"/>
      <c r="AH11" s="10"/>
      <c r="AI11" s="10"/>
      <c r="AJ11" s="10"/>
      <c r="AK11" s="10"/>
      <c r="AL11" s="54"/>
      <c r="AM11" s="54"/>
      <c r="AN11" s="54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</row>
    <row r="12" spans="1:221" ht="17.649999999999999" customHeight="1" x14ac:dyDescent="0.35">
      <c r="A12" s="129" t="s">
        <v>9</v>
      </c>
      <c r="B12" s="127">
        <v>0</v>
      </c>
      <c r="C12" s="174"/>
      <c r="D12" s="127">
        <v>0</v>
      </c>
      <c r="E12" s="174"/>
      <c r="F12" s="124">
        <f>+PAGE_6!B14+PAGE_6!D14+PAGE_6!F14+PAGE_6!H14+PAGE_6!J14+PAGE_6!L14+PAGE_7!B12+PAGE_7!D12</f>
        <v>35355</v>
      </c>
      <c r="G12" s="174"/>
      <c r="H12" s="124">
        <v>0</v>
      </c>
      <c r="I12" s="174"/>
      <c r="J12" s="124">
        <v>2609</v>
      </c>
      <c r="K12" s="174"/>
      <c r="L12" s="124">
        <v>640</v>
      </c>
      <c r="M12" s="174"/>
      <c r="N12" s="124">
        <v>380</v>
      </c>
      <c r="O12" s="174"/>
      <c r="P12" s="22"/>
      <c r="U12" s="1"/>
      <c r="V12" s="1"/>
      <c r="W12" s="1"/>
      <c r="X12" s="1"/>
      <c r="Y12" s="1"/>
      <c r="Z12" s="10"/>
      <c r="AA12" s="10"/>
      <c r="AB12" s="53"/>
      <c r="AC12" s="10"/>
      <c r="AD12" s="10"/>
      <c r="AE12" s="10"/>
      <c r="AF12" s="10"/>
      <c r="AG12" s="10"/>
      <c r="AH12" s="10"/>
      <c r="AI12" s="10"/>
      <c r="AJ12" s="10"/>
      <c r="AK12" s="10"/>
      <c r="AL12" s="54"/>
      <c r="AM12" s="54"/>
      <c r="AN12" s="54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</row>
    <row r="13" spans="1:221" ht="16.5" customHeight="1" x14ac:dyDescent="0.35">
      <c r="A13" s="129" t="s">
        <v>10</v>
      </c>
      <c r="B13" s="127">
        <v>0</v>
      </c>
      <c r="C13" s="174"/>
      <c r="D13" s="127">
        <v>0</v>
      </c>
      <c r="E13" s="174"/>
      <c r="F13" s="124">
        <f>+PAGE_6!B15+PAGE_6!D15+PAGE_6!F15+PAGE_6!H15+PAGE_6!J15+PAGE_6!L15+PAGE_7!B13+PAGE_7!D13</f>
        <v>57903</v>
      </c>
      <c r="G13" s="174"/>
      <c r="H13" s="124">
        <v>0</v>
      </c>
      <c r="I13" s="174"/>
      <c r="J13" s="124">
        <v>5299</v>
      </c>
      <c r="K13" s="174"/>
      <c r="L13" s="124">
        <v>640</v>
      </c>
      <c r="M13" s="174"/>
      <c r="N13" s="124">
        <v>200</v>
      </c>
      <c r="O13" s="174"/>
      <c r="P13" s="22"/>
      <c r="U13" s="1"/>
      <c r="V13" s="1"/>
      <c r="W13" s="1"/>
      <c r="X13" s="1"/>
      <c r="Y13" s="1"/>
      <c r="Z13" s="10"/>
      <c r="AA13" s="10"/>
      <c r="AB13" s="53"/>
      <c r="AC13" s="10"/>
      <c r="AD13" s="10"/>
      <c r="AE13" s="10"/>
      <c r="AF13" s="10"/>
      <c r="AG13" s="10"/>
      <c r="AH13" s="10"/>
      <c r="AI13" s="10"/>
      <c r="AJ13" s="10"/>
      <c r="AK13" s="10"/>
      <c r="AL13" s="54"/>
      <c r="AM13" s="54"/>
      <c r="AN13" s="54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</row>
    <row r="14" spans="1:221" ht="17.649999999999999" customHeight="1" x14ac:dyDescent="0.35">
      <c r="A14" s="129" t="s">
        <v>11</v>
      </c>
      <c r="B14" s="124">
        <v>78</v>
      </c>
      <c r="C14" s="174"/>
      <c r="D14" s="127">
        <v>0</v>
      </c>
      <c r="E14" s="174"/>
      <c r="F14" s="124">
        <f>+PAGE_6!B16+PAGE_6!D16+PAGE_6!F16+PAGE_6!H16+PAGE_6!J16+PAGE_6!L16+PAGE_7!B14+PAGE_7!D14</f>
        <v>45578</v>
      </c>
      <c r="G14" s="174"/>
      <c r="H14" s="124">
        <v>0</v>
      </c>
      <c r="I14" s="174"/>
      <c r="J14" s="124">
        <v>4513</v>
      </c>
      <c r="K14" s="174"/>
      <c r="L14" s="124">
        <v>640</v>
      </c>
      <c r="M14" s="174"/>
      <c r="N14" s="124">
        <v>200</v>
      </c>
      <c r="O14" s="174"/>
      <c r="P14" s="22"/>
      <c r="U14" s="1"/>
      <c r="V14" s="1"/>
      <c r="W14" s="1"/>
      <c r="X14" s="1"/>
      <c r="Y14" s="1"/>
      <c r="Z14" s="10"/>
      <c r="AA14" s="10"/>
      <c r="AB14" s="53"/>
      <c r="AC14" s="10"/>
      <c r="AD14" s="10"/>
      <c r="AE14" s="10"/>
      <c r="AF14" s="10"/>
      <c r="AG14" s="10"/>
      <c r="AH14" s="10"/>
      <c r="AI14" s="10"/>
      <c r="AJ14" s="10"/>
      <c r="AK14" s="10"/>
      <c r="AL14" s="54"/>
      <c r="AM14" s="54"/>
      <c r="AN14" s="54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</row>
    <row r="15" spans="1:221" ht="16.5" customHeight="1" x14ac:dyDescent="0.35">
      <c r="A15" s="129" t="s">
        <v>12</v>
      </c>
      <c r="B15" s="124">
        <v>97</v>
      </c>
      <c r="C15" s="174"/>
      <c r="D15" s="127">
        <v>0</v>
      </c>
      <c r="E15" s="174"/>
      <c r="F15" s="124">
        <f>+PAGE_6!B17+PAGE_6!D17+PAGE_6!F17+PAGE_6!H17+PAGE_6!J17+PAGE_6!L17+PAGE_7!B15+PAGE_7!D15</f>
        <v>54880</v>
      </c>
      <c r="G15" s="174"/>
      <c r="H15" s="124">
        <v>0</v>
      </c>
      <c r="I15" s="174"/>
      <c r="J15" s="124">
        <v>4140</v>
      </c>
      <c r="K15" s="174"/>
      <c r="L15" s="124">
        <v>2669</v>
      </c>
      <c r="M15" s="174"/>
      <c r="N15" s="124">
        <v>200</v>
      </c>
      <c r="O15" s="174"/>
      <c r="P15" s="22"/>
      <c r="U15" s="1"/>
      <c r="V15" s="1"/>
      <c r="W15" s="1"/>
      <c r="X15" s="1"/>
      <c r="Y15" s="1"/>
      <c r="Z15" s="10"/>
      <c r="AA15" s="10"/>
      <c r="AB15" s="53"/>
      <c r="AC15" s="1"/>
      <c r="AD15" s="1"/>
      <c r="AE15" s="1"/>
      <c r="AF15" s="1"/>
      <c r="AG15" s="1"/>
      <c r="AH15" s="10"/>
      <c r="AI15" s="10"/>
      <c r="AJ15" s="10"/>
      <c r="AK15" s="10"/>
      <c r="AL15" s="54"/>
      <c r="AM15" s="54"/>
      <c r="AN15" s="54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</row>
    <row r="16" spans="1:221" ht="17.649999999999999" customHeight="1" x14ac:dyDescent="0.35">
      <c r="A16" s="129" t="s">
        <v>13</v>
      </c>
      <c r="B16" s="124">
        <v>74</v>
      </c>
      <c r="C16" s="174"/>
      <c r="D16" s="127">
        <v>0</v>
      </c>
      <c r="E16" s="174"/>
      <c r="F16" s="124">
        <f>+PAGE_6!B18+PAGE_6!D18+PAGE_6!F18+PAGE_6!H18+PAGE_6!J18+PAGE_6!L18+PAGE_7!B16+PAGE_7!D16</f>
        <v>43692</v>
      </c>
      <c r="G16" s="174"/>
      <c r="H16" s="124">
        <v>9</v>
      </c>
      <c r="I16" s="174"/>
      <c r="J16" s="124">
        <v>5461</v>
      </c>
      <c r="K16" s="174"/>
      <c r="L16" s="124">
        <v>2646</v>
      </c>
      <c r="M16" s="174"/>
      <c r="N16" s="124">
        <v>200</v>
      </c>
      <c r="O16" s="174"/>
      <c r="P16" s="22"/>
      <c r="U16" s="1"/>
      <c r="V16" s="1"/>
      <c r="W16" s="1"/>
      <c r="X16" s="1"/>
      <c r="Y16" s="1"/>
      <c r="Z16" s="10"/>
      <c r="AA16" s="10"/>
      <c r="AB16" s="53"/>
      <c r="AC16" s="1"/>
      <c r="AD16" s="1"/>
      <c r="AE16" s="1"/>
      <c r="AF16" s="1"/>
      <c r="AG16" s="1"/>
      <c r="AH16" s="10"/>
      <c r="AI16" s="10"/>
      <c r="AJ16" s="10"/>
      <c r="AK16" s="10"/>
      <c r="AL16" s="54"/>
      <c r="AM16" s="54"/>
      <c r="AN16" s="54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</row>
    <row r="17" spans="1:221" ht="17.649999999999999" customHeight="1" x14ac:dyDescent="0.35">
      <c r="A17" s="129" t="s">
        <v>14</v>
      </c>
      <c r="B17" s="124">
        <v>378</v>
      </c>
      <c r="C17" s="174"/>
      <c r="D17" s="127">
        <v>0</v>
      </c>
      <c r="E17" s="174"/>
      <c r="F17" s="124">
        <f>+PAGE_6!B19+PAGE_6!D19+PAGE_6!F19+PAGE_6!H19+PAGE_6!J19+PAGE_6!L19+PAGE_7!B17+PAGE_7!D17</f>
        <v>60670</v>
      </c>
      <c r="G17" s="174"/>
      <c r="H17" s="124">
        <v>139</v>
      </c>
      <c r="I17" s="174"/>
      <c r="J17" s="124">
        <v>4752</v>
      </c>
      <c r="K17" s="174"/>
      <c r="L17" s="124">
        <v>2832</v>
      </c>
      <c r="M17" s="174"/>
      <c r="N17" s="124">
        <v>150</v>
      </c>
      <c r="O17" s="174"/>
      <c r="P17" s="22"/>
      <c r="U17" s="1"/>
      <c r="V17" s="1"/>
      <c r="W17" s="1"/>
      <c r="X17" s="1"/>
      <c r="Y17" s="1"/>
      <c r="Z17" s="10"/>
      <c r="AA17" s="10"/>
      <c r="AB17" s="53"/>
      <c r="AC17" s="1"/>
      <c r="AD17" s="1"/>
      <c r="AE17" s="1"/>
      <c r="AF17" s="1"/>
      <c r="AG17" s="1"/>
      <c r="AH17" s="10"/>
      <c r="AI17" s="10"/>
      <c r="AJ17" s="10"/>
      <c r="AK17" s="10"/>
      <c r="AL17" s="54"/>
      <c r="AM17" s="54"/>
      <c r="AN17" s="54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</row>
    <row r="18" spans="1:221" ht="17.649999999999999" customHeight="1" x14ac:dyDescent="0.35">
      <c r="A18" s="129" t="s">
        <v>15</v>
      </c>
      <c r="B18" s="124">
        <v>428</v>
      </c>
      <c r="C18" s="174"/>
      <c r="D18" s="124">
        <v>1116</v>
      </c>
      <c r="E18" s="174"/>
      <c r="F18" s="124">
        <f>+PAGE_6!B20+PAGE_6!D20+PAGE_6!F20+PAGE_6!H20+PAGE_6!J20+PAGE_6!L20+PAGE_7!B18+PAGE_7!D18</f>
        <v>46479</v>
      </c>
      <c r="G18" s="174"/>
      <c r="H18" s="124">
        <v>0</v>
      </c>
      <c r="I18" s="174"/>
      <c r="J18" s="124">
        <v>4233</v>
      </c>
      <c r="K18" s="174"/>
      <c r="L18" s="124">
        <v>3117</v>
      </c>
      <c r="M18" s="174"/>
      <c r="N18" s="124">
        <v>225</v>
      </c>
      <c r="O18" s="174"/>
      <c r="P18" s="22"/>
      <c r="U18" s="1"/>
      <c r="V18" s="1"/>
      <c r="W18" s="1"/>
      <c r="X18" s="1"/>
      <c r="Y18" s="1"/>
      <c r="Z18" s="10"/>
      <c r="AA18" s="10"/>
      <c r="AB18" s="10"/>
      <c r="AC18" s="1"/>
      <c r="AD18" s="1"/>
      <c r="AE18" s="1"/>
      <c r="AF18" s="1"/>
      <c r="AG18" s="1"/>
      <c r="AH18" s="10"/>
      <c r="AI18" s="10"/>
      <c r="AJ18" s="10"/>
      <c r="AK18" s="10"/>
      <c r="AL18" s="54"/>
      <c r="AM18" s="54"/>
      <c r="AN18" s="54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</row>
    <row r="19" spans="1:221" ht="17.649999999999999" customHeight="1" x14ac:dyDescent="0.35">
      <c r="A19" s="129" t="s">
        <v>16</v>
      </c>
      <c r="B19" s="124">
        <v>778</v>
      </c>
      <c r="C19" s="174"/>
      <c r="D19" s="124">
        <v>925</v>
      </c>
      <c r="E19" s="174"/>
      <c r="F19" s="124">
        <f>+PAGE_6!B21+PAGE_6!D21+PAGE_6!F21+PAGE_6!H21+PAGE_6!J21+PAGE_6!L21+PAGE_7!B19+PAGE_7!D19</f>
        <v>73515</v>
      </c>
      <c r="G19" s="174"/>
      <c r="H19" s="124">
        <v>0</v>
      </c>
      <c r="I19" s="174"/>
      <c r="J19" s="124">
        <v>6155</v>
      </c>
      <c r="K19" s="174"/>
      <c r="L19" s="124">
        <v>2159</v>
      </c>
      <c r="M19" s="174"/>
      <c r="N19" s="127">
        <v>0</v>
      </c>
      <c r="O19" s="174"/>
      <c r="P19" s="22"/>
      <c r="U19" s="1"/>
      <c r="V19" s="1"/>
      <c r="W19" s="1"/>
      <c r="X19" s="1"/>
      <c r="Y19" s="1"/>
      <c r="Z19" s="10"/>
      <c r="AA19" s="10"/>
      <c r="AB19" s="10"/>
      <c r="AC19" s="1"/>
      <c r="AD19" s="1"/>
      <c r="AE19" s="1"/>
      <c r="AF19" s="1"/>
      <c r="AG19" s="1"/>
      <c r="AH19" s="10"/>
      <c r="AI19" s="10"/>
      <c r="AJ19" s="10"/>
      <c r="AK19" s="10"/>
      <c r="AL19" s="54"/>
      <c r="AM19" s="54"/>
      <c r="AN19" s="54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</row>
    <row r="20" spans="1:221" ht="15" customHeight="1" x14ac:dyDescent="0.35">
      <c r="A20" s="129" t="s">
        <v>17</v>
      </c>
      <c r="B20" s="124">
        <v>530</v>
      </c>
      <c r="C20" s="174"/>
      <c r="D20" s="124">
        <v>850</v>
      </c>
      <c r="E20" s="174"/>
      <c r="F20" s="124">
        <f>+PAGE_6!B22+PAGE_6!D22+PAGE_6!F22+PAGE_6!H22+PAGE_6!J22+PAGE_6!L22+PAGE_7!B20+PAGE_7!D20</f>
        <v>53136</v>
      </c>
      <c r="G20" s="174"/>
      <c r="H20" s="124">
        <v>0</v>
      </c>
      <c r="I20" s="174"/>
      <c r="J20" s="124">
        <v>4419</v>
      </c>
      <c r="K20" s="174"/>
      <c r="L20" s="124">
        <v>4628</v>
      </c>
      <c r="M20" s="174"/>
      <c r="N20" s="124">
        <v>230</v>
      </c>
      <c r="O20" s="174"/>
      <c r="P20" s="22"/>
      <c r="U20" s="1"/>
      <c r="V20" s="1"/>
      <c r="W20" s="1"/>
      <c r="X20" s="1"/>
      <c r="Y20" s="1"/>
      <c r="Z20" s="10"/>
      <c r="AA20" s="10"/>
      <c r="AB20" s="10"/>
      <c r="AC20" s="1"/>
      <c r="AD20" s="1"/>
      <c r="AE20" s="1"/>
      <c r="AF20" s="1"/>
      <c r="AG20" s="1"/>
      <c r="AH20" s="10"/>
      <c r="AI20" s="10"/>
      <c r="AJ20" s="10"/>
      <c r="AK20" s="10"/>
      <c r="AL20" s="54"/>
      <c r="AM20" s="54"/>
      <c r="AN20" s="54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</row>
    <row r="21" spans="1:221" ht="17.649999999999999" customHeight="1" x14ac:dyDescent="0.35">
      <c r="A21" s="129" t="s">
        <v>18</v>
      </c>
      <c r="B21" s="124">
        <v>340</v>
      </c>
      <c r="C21" s="174"/>
      <c r="D21" s="124">
        <v>950</v>
      </c>
      <c r="E21" s="174"/>
      <c r="F21" s="124">
        <f>+PAGE_6!B23+PAGE_6!D23+PAGE_6!F23+PAGE_6!H23+PAGE_6!J23+PAGE_6!L23+PAGE_7!B21+PAGE_7!D21</f>
        <v>28375</v>
      </c>
      <c r="G21" s="174"/>
      <c r="H21" s="124">
        <v>0</v>
      </c>
      <c r="I21" s="174"/>
      <c r="J21" s="124">
        <v>1579</v>
      </c>
      <c r="K21" s="174"/>
      <c r="L21" s="124">
        <v>6822</v>
      </c>
      <c r="M21" s="174"/>
      <c r="N21" s="124">
        <v>245</v>
      </c>
      <c r="O21" s="174"/>
      <c r="P21" s="22"/>
      <c r="U21" s="1"/>
      <c r="V21" s="1"/>
      <c r="W21" s="1"/>
      <c r="X21" s="1"/>
      <c r="Y21" s="1"/>
      <c r="Z21" s="10"/>
      <c r="AA21" s="10"/>
      <c r="AB21" s="10"/>
      <c r="AC21" s="1"/>
      <c r="AD21" s="1"/>
      <c r="AE21" s="1"/>
      <c r="AF21" s="1"/>
      <c r="AG21" s="1"/>
      <c r="AH21" s="10"/>
      <c r="AI21" s="10"/>
      <c r="AJ21" s="10"/>
      <c r="AK21" s="10"/>
      <c r="AL21" s="54"/>
      <c r="AM21" s="54"/>
      <c r="AN21" s="54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</row>
    <row r="22" spans="1:221" ht="17.649999999999999" customHeight="1" x14ac:dyDescent="0.35">
      <c r="A22" s="129" t="s">
        <v>19</v>
      </c>
      <c r="B22" s="124">
        <v>445</v>
      </c>
      <c r="C22" s="174"/>
      <c r="D22" s="124">
        <v>906</v>
      </c>
      <c r="E22" s="174"/>
      <c r="F22" s="124">
        <f>+PAGE_6!B24+PAGE_6!D24+PAGE_6!F24+PAGE_6!H24+PAGE_6!J24+PAGE_6!L24+PAGE_7!B22+PAGE_7!D22</f>
        <v>100766</v>
      </c>
      <c r="G22" s="174"/>
      <c r="H22" s="124">
        <v>8488</v>
      </c>
      <c r="I22" s="174"/>
      <c r="J22" s="124">
        <v>3184</v>
      </c>
      <c r="K22" s="174"/>
      <c r="L22" s="124">
        <v>7362</v>
      </c>
      <c r="M22" s="174"/>
      <c r="N22" s="124">
        <v>200</v>
      </c>
      <c r="O22" s="174"/>
      <c r="P22" s="22"/>
      <c r="U22" s="1"/>
      <c r="V22" s="1"/>
      <c r="W22" s="1"/>
      <c r="X22" s="1"/>
      <c r="Y22" s="1"/>
      <c r="Z22" s="10"/>
      <c r="AA22" s="10"/>
      <c r="AB22" s="53"/>
      <c r="AC22" s="1"/>
      <c r="AD22" s="1"/>
      <c r="AE22" s="1"/>
      <c r="AF22" s="1"/>
      <c r="AG22" s="1"/>
      <c r="AH22" s="10"/>
      <c r="AI22" s="10"/>
      <c r="AJ22" s="10"/>
      <c r="AK22" s="10"/>
      <c r="AL22" s="54"/>
      <c r="AM22" s="54"/>
      <c r="AN22" s="54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</row>
    <row r="23" spans="1:221" ht="17.649999999999999" customHeight="1" x14ac:dyDescent="0.35">
      <c r="A23" s="129" t="s">
        <v>20</v>
      </c>
      <c r="B23" s="124">
        <v>433</v>
      </c>
      <c r="C23" s="174"/>
      <c r="D23" s="124">
        <v>952</v>
      </c>
      <c r="E23" s="174"/>
      <c r="F23" s="124">
        <f>+PAGE_6!B25+PAGE_6!D25+PAGE_6!F25+PAGE_6!H25+PAGE_6!J25+PAGE_6!L25+PAGE_7!B23+PAGE_7!D23</f>
        <v>64163</v>
      </c>
      <c r="G23" s="174"/>
      <c r="H23" s="124">
        <v>17797</v>
      </c>
      <c r="I23" s="174"/>
      <c r="J23" s="124">
        <v>580</v>
      </c>
      <c r="K23" s="174"/>
      <c r="L23" s="124">
        <v>6960</v>
      </c>
      <c r="M23" s="174"/>
      <c r="N23" s="124">
        <v>200</v>
      </c>
      <c r="O23" s="174"/>
      <c r="P23" s="22"/>
      <c r="U23" s="1"/>
      <c r="V23" s="1"/>
      <c r="W23" s="1"/>
      <c r="X23" s="1"/>
      <c r="Y23" s="1"/>
      <c r="Z23" s="10"/>
      <c r="AA23" s="10"/>
      <c r="AB23" s="53"/>
      <c r="AC23" s="1"/>
      <c r="AD23" s="1"/>
      <c r="AE23" s="1"/>
      <c r="AF23" s="1"/>
      <c r="AG23" s="1"/>
      <c r="AH23" s="10"/>
      <c r="AI23" s="10"/>
      <c r="AJ23" s="10"/>
      <c r="AK23" s="10"/>
      <c r="AL23" s="54"/>
      <c r="AM23" s="54"/>
      <c r="AN23" s="54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</row>
    <row r="24" spans="1:221" ht="16.5" customHeight="1" x14ac:dyDescent="0.35">
      <c r="A24" s="129" t="s">
        <v>21</v>
      </c>
      <c r="B24" s="124">
        <v>42</v>
      </c>
      <c r="C24" s="174"/>
      <c r="D24" s="124">
        <v>460</v>
      </c>
      <c r="E24" s="174"/>
      <c r="F24" s="124">
        <f>+PAGE_6!B26+PAGE_6!D26+PAGE_6!F26+PAGE_6!H26+PAGE_6!J26+PAGE_6!L26+PAGE_7!B24+PAGE_7!D24</f>
        <v>16479</v>
      </c>
      <c r="G24" s="174"/>
      <c r="H24" s="124">
        <v>18373</v>
      </c>
      <c r="I24" s="174"/>
      <c r="J24" s="124">
        <v>6002</v>
      </c>
      <c r="K24" s="174"/>
      <c r="L24" s="124">
        <v>7225</v>
      </c>
      <c r="M24" s="174"/>
      <c r="N24" s="124">
        <v>200</v>
      </c>
      <c r="O24" s="174"/>
      <c r="P24" s="22"/>
      <c r="U24" s="1"/>
      <c r="V24" s="1"/>
      <c r="W24" s="1"/>
      <c r="X24" s="1"/>
      <c r="Y24" s="1"/>
      <c r="Z24" s="10"/>
      <c r="AA24" s="10"/>
      <c r="AB24" s="53"/>
      <c r="AC24" s="1"/>
      <c r="AD24" s="1"/>
      <c r="AE24" s="1"/>
      <c r="AF24" s="1"/>
      <c r="AG24" s="1"/>
      <c r="AH24" s="10"/>
      <c r="AI24" s="10"/>
      <c r="AJ24" s="10"/>
      <c r="AK24" s="10"/>
      <c r="AL24" s="54"/>
      <c r="AM24" s="54"/>
      <c r="AN24" s="54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</row>
    <row r="25" spans="1:221" ht="17.649999999999999" customHeight="1" x14ac:dyDescent="0.35">
      <c r="A25" s="129" t="s">
        <v>22</v>
      </c>
      <c r="B25" s="124">
        <v>367</v>
      </c>
      <c r="C25" s="174"/>
      <c r="D25" s="124">
        <v>397</v>
      </c>
      <c r="E25" s="174"/>
      <c r="F25" s="124">
        <f>+PAGE_6!B27+PAGE_6!D27+PAGE_6!F27+PAGE_6!H27+PAGE_6!J27+PAGE_6!L27+PAGE_7!B25+PAGE_7!D25</f>
        <v>100354</v>
      </c>
      <c r="G25" s="174" t="s">
        <v>23</v>
      </c>
      <c r="H25" s="124">
        <v>22780</v>
      </c>
      <c r="I25" s="174"/>
      <c r="J25" s="124">
        <v>3337</v>
      </c>
      <c r="K25" s="174"/>
      <c r="L25" s="124">
        <v>6542</v>
      </c>
      <c r="M25" s="174"/>
      <c r="N25" s="124">
        <v>200</v>
      </c>
      <c r="O25" s="174"/>
      <c r="P25" s="21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1"/>
      <c r="AH25" s="10"/>
      <c r="AI25" s="10"/>
      <c r="AJ25" s="10"/>
      <c r="AK25" s="10"/>
      <c r="AL25" s="54"/>
      <c r="AM25" s="54"/>
      <c r="AN25" s="54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</row>
    <row r="26" spans="1:221" ht="17.649999999999999" customHeight="1" x14ac:dyDescent="0.35">
      <c r="A26" s="129" t="s">
        <v>24</v>
      </c>
      <c r="B26" s="124">
        <v>311</v>
      </c>
      <c r="C26" s="174"/>
      <c r="D26" s="124">
        <v>375</v>
      </c>
      <c r="E26" s="174"/>
      <c r="F26" s="124">
        <f>+PAGE_6!B28+PAGE_6!D28+PAGE_6!F28+PAGE_6!H28+PAGE_6!J28+PAGE_6!L28+PAGE_7!B26+PAGE_7!D26</f>
        <v>64370</v>
      </c>
      <c r="G26" s="174"/>
      <c r="H26" s="124">
        <v>12112</v>
      </c>
      <c r="I26" s="174"/>
      <c r="J26" s="124">
        <v>3387</v>
      </c>
      <c r="K26" s="174"/>
      <c r="L26" s="124">
        <v>8940</v>
      </c>
      <c r="M26" s="174"/>
      <c r="N26" s="124">
        <v>200</v>
      </c>
      <c r="O26" s="174"/>
      <c r="P26" s="21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1"/>
      <c r="AH26" s="10"/>
      <c r="AI26" s="10"/>
      <c r="AJ26" s="10"/>
      <c r="AK26" s="10"/>
      <c r="AL26" s="54"/>
      <c r="AM26" s="54"/>
      <c r="AN26" s="54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</row>
    <row r="27" spans="1:221" ht="17.649999999999999" customHeight="1" x14ac:dyDescent="0.35">
      <c r="A27" s="129" t="s">
        <v>25</v>
      </c>
      <c r="B27" s="124">
        <v>379</v>
      </c>
      <c r="C27" s="174"/>
      <c r="D27" s="124">
        <v>425</v>
      </c>
      <c r="E27" s="174"/>
      <c r="F27" s="124">
        <f>+PAGE_6!B29+PAGE_6!D29+PAGE_6!F29+PAGE_6!H29+PAGE_6!J29+PAGE_6!L29+PAGE_7!B27+PAGE_7!D27</f>
        <v>61536</v>
      </c>
      <c r="G27" s="174"/>
      <c r="H27" s="124">
        <v>6233</v>
      </c>
      <c r="I27" s="174"/>
      <c r="J27" s="124">
        <v>4010</v>
      </c>
      <c r="K27" s="174"/>
      <c r="L27" s="124">
        <v>8218</v>
      </c>
      <c r="M27" s="174"/>
      <c r="N27" s="124">
        <v>200</v>
      </c>
      <c r="O27" s="174"/>
      <c r="P27" s="22"/>
      <c r="U27" s="1"/>
      <c r="V27" s="1"/>
      <c r="W27" s="1"/>
      <c r="X27" s="1"/>
      <c r="Y27" s="1"/>
      <c r="Z27" s="10"/>
      <c r="AA27" s="10"/>
      <c r="AB27" s="10"/>
      <c r="AC27" s="1"/>
      <c r="AD27" s="1"/>
      <c r="AE27" s="1"/>
      <c r="AF27" s="1"/>
      <c r="AG27" s="1"/>
      <c r="AH27" s="10"/>
      <c r="AI27" s="10"/>
      <c r="AJ27" s="10"/>
      <c r="AK27" s="10"/>
      <c r="AL27" s="54"/>
      <c r="AM27" s="54"/>
      <c r="AN27" s="54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</row>
    <row r="28" spans="1:221" ht="17.649999999999999" customHeight="1" x14ac:dyDescent="0.35">
      <c r="A28" s="129" t="s">
        <v>101</v>
      </c>
      <c r="B28" s="124">
        <v>282</v>
      </c>
      <c r="C28" s="174"/>
      <c r="D28" s="124">
        <v>623</v>
      </c>
      <c r="E28" s="174"/>
      <c r="F28" s="124">
        <f>+PAGE_6!B30+PAGE_6!D30+PAGE_6!F30+PAGE_6!H30+PAGE_6!J30+PAGE_6!L30+PAGE_7!B28+PAGE_7!D28</f>
        <v>64589</v>
      </c>
      <c r="G28" s="174"/>
      <c r="H28" s="124">
        <v>2413</v>
      </c>
      <c r="I28" s="174"/>
      <c r="J28" s="124">
        <v>641</v>
      </c>
      <c r="K28" s="174"/>
      <c r="L28" s="124">
        <v>3492</v>
      </c>
      <c r="M28" s="174"/>
      <c r="N28" s="124">
        <v>200</v>
      </c>
      <c r="O28" s="174"/>
      <c r="P28" s="22"/>
      <c r="U28" s="1"/>
      <c r="V28" s="1"/>
      <c r="W28" s="1"/>
      <c r="X28" s="1"/>
      <c r="Y28" s="1"/>
      <c r="Z28" s="10"/>
      <c r="AA28" s="10"/>
      <c r="AB28" s="10"/>
      <c r="AC28" s="1"/>
      <c r="AD28" s="1"/>
      <c r="AE28" s="1"/>
      <c r="AF28" s="1"/>
      <c r="AG28" s="1"/>
      <c r="AH28" s="10"/>
      <c r="AI28" s="10"/>
      <c r="AJ28" s="10"/>
      <c r="AK28" s="10"/>
      <c r="AL28" s="54"/>
      <c r="AM28" s="54"/>
      <c r="AN28" s="54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</row>
    <row r="29" spans="1:221" ht="17.649999999999999" customHeight="1" x14ac:dyDescent="0.35">
      <c r="A29" s="129" t="s">
        <v>26</v>
      </c>
      <c r="B29" s="124">
        <v>481</v>
      </c>
      <c r="C29" s="174"/>
      <c r="D29" s="124">
        <v>425</v>
      </c>
      <c r="E29" s="174"/>
      <c r="F29" s="124">
        <f>+PAGE_6!B31+PAGE_6!D31+PAGE_6!F31+PAGE_6!H31+PAGE_6!J31+PAGE_6!L31+PAGE_7!B29+PAGE_7!D29</f>
        <v>64967</v>
      </c>
      <c r="G29" s="174"/>
      <c r="H29" s="124">
        <v>1260</v>
      </c>
      <c r="I29" s="174"/>
      <c r="J29" s="124">
        <v>3393</v>
      </c>
      <c r="K29" s="174"/>
      <c r="L29" s="124">
        <v>8164</v>
      </c>
      <c r="M29" s="174"/>
      <c r="N29" s="124">
        <v>200</v>
      </c>
      <c r="O29" s="174"/>
      <c r="P29" s="22"/>
      <c r="U29" s="1"/>
      <c r="V29" s="1"/>
      <c r="W29" s="1"/>
      <c r="X29" s="1"/>
      <c r="Y29" s="1"/>
      <c r="Z29" s="10"/>
      <c r="AA29" s="10"/>
      <c r="AB29" s="10"/>
      <c r="AC29" s="1"/>
      <c r="AD29" s="1"/>
      <c r="AE29" s="1"/>
      <c r="AF29" s="1"/>
      <c r="AG29" s="1"/>
      <c r="AH29" s="10"/>
      <c r="AI29" s="10"/>
      <c r="AJ29" s="10"/>
      <c r="AK29" s="10"/>
      <c r="AL29" s="54"/>
      <c r="AM29" s="54"/>
      <c r="AN29" s="54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</row>
    <row r="30" spans="1:221" ht="17.649999999999999" customHeight="1" x14ac:dyDescent="0.35">
      <c r="A30" s="129" t="s">
        <v>27</v>
      </c>
      <c r="B30" s="124">
        <v>719</v>
      </c>
      <c r="C30" s="174"/>
      <c r="D30" s="124">
        <v>700</v>
      </c>
      <c r="E30" s="174">
        <v>0</v>
      </c>
      <c r="F30" s="124">
        <f>+PAGE_6!B32+PAGE_6!D32+PAGE_6!F32+PAGE_6!H32+PAGE_6!J32+PAGE_6!L32+PAGE_7!B30+PAGE_7!D30</f>
        <v>66668</v>
      </c>
      <c r="G30" s="174">
        <v>0</v>
      </c>
      <c r="H30" s="124">
        <v>603</v>
      </c>
      <c r="I30" s="174"/>
      <c r="J30" s="124">
        <v>3411</v>
      </c>
      <c r="K30" s="174"/>
      <c r="L30" s="124">
        <v>7279</v>
      </c>
      <c r="M30" s="174"/>
      <c r="N30" s="124">
        <v>200</v>
      </c>
      <c r="O30" s="174"/>
      <c r="P30" s="22"/>
      <c r="U30" s="1"/>
      <c r="V30" s="1"/>
      <c r="W30" s="1"/>
      <c r="X30" s="1"/>
      <c r="Y30" s="1"/>
      <c r="Z30" s="10"/>
      <c r="AA30" s="10"/>
      <c r="AB30" s="10"/>
      <c r="AC30" s="1"/>
      <c r="AD30" s="1"/>
      <c r="AE30" s="1"/>
      <c r="AF30" s="1"/>
      <c r="AG30" s="1"/>
      <c r="AH30" s="10"/>
      <c r="AI30" s="10"/>
      <c r="AJ30" s="10"/>
      <c r="AK30" s="10"/>
      <c r="AL30" s="54"/>
      <c r="AM30" s="54"/>
      <c r="AN30" s="54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</row>
    <row r="31" spans="1:221" ht="17.649999999999999" customHeight="1" x14ac:dyDescent="0.35">
      <c r="A31" s="129" t="s">
        <v>102</v>
      </c>
      <c r="B31" s="124">
        <v>432</v>
      </c>
      <c r="C31" s="174"/>
      <c r="D31" s="124">
        <v>897</v>
      </c>
      <c r="E31" s="174">
        <v>0</v>
      </c>
      <c r="F31" s="124">
        <f>+PAGE_6!B33+PAGE_6!D33+PAGE_6!F33+PAGE_6!H33+PAGE_6!J33+PAGE_6!L33+PAGE_7!B31+PAGE_7!D31</f>
        <v>63509</v>
      </c>
      <c r="G31" s="174">
        <v>0</v>
      </c>
      <c r="H31" s="124">
        <v>108</v>
      </c>
      <c r="I31" s="174"/>
      <c r="J31" s="124">
        <v>5367</v>
      </c>
      <c r="K31" s="174"/>
      <c r="L31" s="124">
        <v>14227</v>
      </c>
      <c r="M31" s="174"/>
      <c r="N31" s="124">
        <v>200</v>
      </c>
      <c r="O31" s="174"/>
      <c r="P31" s="22"/>
      <c r="U31" s="1"/>
      <c r="V31" s="1"/>
      <c r="W31" s="1"/>
      <c r="X31" s="1"/>
      <c r="Y31" s="1"/>
      <c r="Z31" s="10"/>
      <c r="AA31" s="10"/>
      <c r="AB31" s="10"/>
      <c r="AC31" s="1"/>
      <c r="AD31" s="1"/>
      <c r="AE31" s="1"/>
      <c r="AF31" s="1"/>
      <c r="AG31" s="1"/>
      <c r="AH31" s="10"/>
      <c r="AI31" s="10"/>
      <c r="AJ31" s="10"/>
      <c r="AK31" s="10"/>
      <c r="AL31" s="54"/>
      <c r="AM31" s="54"/>
      <c r="AN31" s="54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</row>
    <row r="32" spans="1:221" ht="17.649999999999999" customHeight="1" x14ac:dyDescent="0.35">
      <c r="A32" s="129" t="s">
        <v>103</v>
      </c>
      <c r="B32" s="124">
        <v>376</v>
      </c>
      <c r="C32" s="174"/>
      <c r="D32" s="124">
        <v>1297</v>
      </c>
      <c r="E32" s="174">
        <f>ROUND(D32*[2]Manual_Input!K38,6)</f>
        <v>0</v>
      </c>
      <c r="F32" s="124">
        <f>+PAGE_6!B34+PAGE_6!D34+PAGE_6!F34+PAGE_6!H34+PAGE_6!J34+PAGE_6!L34+PAGE_7!B32+PAGE_7!D32</f>
        <v>58493</v>
      </c>
      <c r="G32" s="174">
        <f>+PAGE_6!C34+PAGE_6!E34+PAGE_6!G34+PAGE_6!I34+PAGE_6!K34+PAGE_6!M34+PAGE_7!C32+PAGE_7!E32</f>
        <v>0</v>
      </c>
      <c r="H32" s="124">
        <v>14555</v>
      </c>
      <c r="I32" s="174"/>
      <c r="J32" s="124">
        <v>2773</v>
      </c>
      <c r="K32" s="174"/>
      <c r="L32" s="124">
        <v>4428</v>
      </c>
      <c r="M32" s="174"/>
      <c r="N32" s="124">
        <v>200</v>
      </c>
      <c r="O32" s="174"/>
      <c r="P32" s="22"/>
      <c r="U32" s="1"/>
      <c r="V32" s="1"/>
      <c r="W32" s="1"/>
      <c r="X32" s="1"/>
      <c r="Y32" s="1"/>
      <c r="Z32" s="10"/>
      <c r="AA32" s="10"/>
      <c r="AB32" s="10"/>
      <c r="AC32" s="1"/>
      <c r="AD32" s="1"/>
      <c r="AE32" s="1"/>
      <c r="AF32" s="1"/>
      <c r="AG32" s="1"/>
      <c r="AH32" s="10"/>
      <c r="AI32" s="10"/>
      <c r="AJ32" s="10"/>
      <c r="AK32" s="10"/>
      <c r="AL32" s="54"/>
      <c r="AM32" s="54"/>
      <c r="AN32" s="54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</row>
    <row r="33" spans="1:221" ht="17.649999999999999" customHeight="1" x14ac:dyDescent="0.35">
      <c r="A33" s="129" t="s">
        <v>104</v>
      </c>
      <c r="B33" s="124">
        <v>596</v>
      </c>
      <c r="C33" s="174"/>
      <c r="D33" s="124">
        <v>1385</v>
      </c>
      <c r="E33" s="174"/>
      <c r="F33" s="124">
        <f>+PAGE_6!B35+PAGE_6!D35+PAGE_6!F35+PAGE_6!H35+PAGE_6!J35+PAGE_6!L35+PAGE_7!B33+PAGE_7!D33</f>
        <v>49955</v>
      </c>
      <c r="G33" s="174">
        <v>0</v>
      </c>
      <c r="H33" s="124">
        <v>4436</v>
      </c>
      <c r="I33" s="174"/>
      <c r="J33" s="124">
        <v>2212</v>
      </c>
      <c r="K33" s="174"/>
      <c r="L33" s="124">
        <v>8332</v>
      </c>
      <c r="M33" s="174"/>
      <c r="N33" s="124">
        <v>200</v>
      </c>
      <c r="O33" s="174"/>
      <c r="P33" s="22"/>
      <c r="U33" s="1"/>
      <c r="V33" s="1"/>
      <c r="W33" s="1"/>
      <c r="X33" s="1"/>
      <c r="Y33" s="1"/>
      <c r="Z33" s="10"/>
      <c r="AA33" s="10"/>
      <c r="AB33" s="10"/>
      <c r="AC33" s="1"/>
      <c r="AD33" s="1"/>
      <c r="AE33" s="1"/>
      <c r="AF33" s="1"/>
      <c r="AG33" s="1"/>
      <c r="AH33" s="10"/>
      <c r="AI33" s="10"/>
      <c r="AJ33" s="10"/>
      <c r="AK33" s="10"/>
      <c r="AL33" s="54"/>
      <c r="AM33" s="54"/>
      <c r="AN33" s="54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</row>
    <row r="34" spans="1:221" ht="17.649999999999999" customHeight="1" x14ac:dyDescent="0.35">
      <c r="A34" s="129" t="s">
        <v>28</v>
      </c>
      <c r="B34" s="124">
        <v>654</v>
      </c>
      <c r="C34" s="174"/>
      <c r="D34" s="124">
        <v>1215</v>
      </c>
      <c r="E34" s="174"/>
      <c r="F34" s="124">
        <f>+PAGE_6!B36+PAGE_6!D36+PAGE_6!F36+PAGE_6!H36+PAGE_6!J36+PAGE_6!L36+PAGE_7!B34+PAGE_7!D34</f>
        <v>65885</v>
      </c>
      <c r="G34" s="174">
        <f>+PAGE_6!C36+PAGE_6!E36+PAGE_6!G36+PAGE_6!I36+PAGE_6!K36+PAGE_6!M36+PAGE_7!C34+PAGE_7!E34</f>
        <v>0</v>
      </c>
      <c r="H34" s="124">
        <v>812</v>
      </c>
      <c r="I34" s="174"/>
      <c r="J34" s="124">
        <v>4451</v>
      </c>
      <c r="K34" s="174"/>
      <c r="L34" s="124">
        <v>7817</v>
      </c>
      <c r="M34" s="174"/>
      <c r="N34" s="124">
        <v>200</v>
      </c>
      <c r="O34" s="174"/>
      <c r="P34" s="22"/>
      <c r="U34" s="1"/>
      <c r="V34" s="1"/>
      <c r="W34" s="1"/>
      <c r="X34" s="1"/>
      <c r="Y34" s="1"/>
      <c r="Z34" s="10"/>
      <c r="AA34" s="10"/>
      <c r="AB34" s="10"/>
      <c r="AC34" s="1"/>
      <c r="AD34" s="1"/>
      <c r="AE34" s="1"/>
      <c r="AF34" s="1"/>
      <c r="AG34" s="1"/>
      <c r="AH34" s="10"/>
      <c r="AI34" s="10"/>
      <c r="AJ34" s="10"/>
      <c r="AK34" s="10"/>
      <c r="AL34" s="54"/>
      <c r="AM34" s="54"/>
      <c r="AN34" s="54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</row>
    <row r="35" spans="1:221" ht="16.5" customHeight="1" x14ac:dyDescent="0.35">
      <c r="A35" s="129" t="s">
        <v>29</v>
      </c>
      <c r="B35" s="124">
        <v>521</v>
      </c>
      <c r="C35" s="174"/>
      <c r="D35" s="124">
        <v>1376</v>
      </c>
      <c r="E35" s="174"/>
      <c r="F35" s="124">
        <f>+PAGE_6!B37+PAGE_6!D37+PAGE_6!F37+PAGE_6!H37+PAGE_6!J37+PAGE_6!L37+PAGE_7!B35+PAGE_7!D35</f>
        <v>56529</v>
      </c>
      <c r="G35" s="174">
        <f>+PAGE_6!C37+PAGE_6!E37+PAGE_6!G37+PAGE_6!I37+PAGE_6!K37+PAGE_6!M37+PAGE_7!C35+PAGE_7!E35</f>
        <v>0</v>
      </c>
      <c r="H35" s="124">
        <v>4269</v>
      </c>
      <c r="I35" s="174"/>
      <c r="J35" s="124">
        <v>2764</v>
      </c>
      <c r="K35" s="174"/>
      <c r="L35" s="124">
        <v>5860</v>
      </c>
      <c r="M35" s="174"/>
      <c r="N35" s="124">
        <v>200</v>
      </c>
      <c r="O35" s="174"/>
      <c r="P35" s="22"/>
      <c r="U35" s="1"/>
      <c r="V35" s="1"/>
      <c r="W35" s="1"/>
      <c r="X35" s="1"/>
      <c r="Y35" s="1"/>
      <c r="Z35" s="10"/>
      <c r="AA35" s="10"/>
      <c r="AB35" s="10"/>
      <c r="AC35" s="1"/>
      <c r="AD35" s="1"/>
      <c r="AE35" s="1"/>
      <c r="AF35" s="1"/>
      <c r="AG35" s="1"/>
      <c r="AH35" s="10"/>
      <c r="AI35" s="10"/>
      <c r="AJ35" s="10"/>
      <c r="AK35" s="10"/>
      <c r="AL35" s="54"/>
      <c r="AM35" s="54"/>
      <c r="AN35" s="54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</row>
    <row r="36" spans="1:221" ht="16.5" customHeight="1" x14ac:dyDescent="0.35">
      <c r="A36" s="129" t="s">
        <v>30</v>
      </c>
      <c r="B36" s="124">
        <v>528</v>
      </c>
      <c r="C36" s="174"/>
      <c r="D36" s="124">
        <v>1229</v>
      </c>
      <c r="E36" s="174"/>
      <c r="F36" s="124">
        <f>+PAGE_6!B38+PAGE_6!D38+PAGE_6!F38+PAGE_6!H38+PAGE_6!J38+PAGE_6!L38+PAGE_7!B36+PAGE_7!D36</f>
        <v>77819</v>
      </c>
      <c r="G36" s="174">
        <v>0</v>
      </c>
      <c r="H36" s="124">
        <v>22181</v>
      </c>
      <c r="I36" s="174"/>
      <c r="J36" s="124">
        <v>1713</v>
      </c>
      <c r="K36" s="174"/>
      <c r="L36" s="124">
        <v>8708</v>
      </c>
      <c r="M36" s="174"/>
      <c r="N36" s="124">
        <v>200</v>
      </c>
      <c r="O36" s="174"/>
      <c r="P36" s="22"/>
      <c r="U36" s="1"/>
      <c r="V36" s="1"/>
      <c r="W36" s="1"/>
      <c r="X36" s="1"/>
      <c r="Y36" s="1"/>
      <c r="Z36" s="10"/>
      <c r="AA36" s="10"/>
      <c r="AB36" s="10"/>
      <c r="AC36" s="1"/>
      <c r="AD36" s="1"/>
      <c r="AE36" s="1"/>
      <c r="AF36" s="1"/>
      <c r="AG36" s="1"/>
      <c r="AH36" s="10"/>
      <c r="AI36" s="10"/>
      <c r="AJ36" s="10"/>
      <c r="AK36" s="10"/>
      <c r="AL36" s="54"/>
      <c r="AM36" s="54"/>
      <c r="AN36" s="54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</row>
    <row r="37" spans="1:221" ht="16.5" customHeight="1" x14ac:dyDescent="0.35">
      <c r="A37" s="129" t="s">
        <v>31</v>
      </c>
      <c r="B37" s="124">
        <v>350</v>
      </c>
      <c r="C37" s="174"/>
      <c r="D37" s="124">
        <v>1002</v>
      </c>
      <c r="E37" s="174"/>
      <c r="F37" s="124">
        <f>+PAGE_6!B39+PAGE_6!D39+PAGE_6!F39+PAGE_6!H39+PAGE_6!J39+PAGE_6!L39+PAGE_7!B37+PAGE_7!D37</f>
        <v>55026</v>
      </c>
      <c r="G37" s="174">
        <v>0</v>
      </c>
      <c r="H37" s="124">
        <v>47574</v>
      </c>
      <c r="I37" s="174"/>
      <c r="J37" s="124">
        <v>1129</v>
      </c>
      <c r="K37" s="174"/>
      <c r="L37" s="124">
        <v>11506</v>
      </c>
      <c r="M37" s="174"/>
      <c r="N37" s="124">
        <v>200</v>
      </c>
      <c r="O37" s="174"/>
      <c r="P37" s="22"/>
      <c r="U37" s="1"/>
      <c r="V37" s="1"/>
      <c r="W37" s="1"/>
      <c r="X37" s="1"/>
      <c r="Y37" s="1"/>
      <c r="Z37" s="10"/>
      <c r="AA37" s="10"/>
      <c r="AB37" s="10"/>
      <c r="AC37" s="1"/>
      <c r="AD37" s="1"/>
      <c r="AE37" s="1"/>
      <c r="AF37" s="1"/>
      <c r="AG37" s="1"/>
      <c r="AH37" s="10"/>
      <c r="AI37" s="10"/>
      <c r="AJ37" s="10"/>
      <c r="AK37" s="10"/>
      <c r="AL37" s="54"/>
      <c r="AM37" s="54"/>
      <c r="AN37" s="54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</row>
    <row r="38" spans="1:221" ht="15" customHeight="1" x14ac:dyDescent="0.35">
      <c r="A38" s="129" t="s">
        <v>32</v>
      </c>
      <c r="B38" s="124">
        <v>687</v>
      </c>
      <c r="C38" s="174"/>
      <c r="D38" s="124">
        <v>1462</v>
      </c>
      <c r="E38" s="174"/>
      <c r="F38" s="124">
        <f>+PAGE_6!B40+PAGE_6!D40+PAGE_6!F40+PAGE_6!H40+PAGE_6!J40+PAGE_6!L40+PAGE_7!B38+PAGE_7!D38</f>
        <v>53804</v>
      </c>
      <c r="G38" s="174">
        <f>+PAGE_6!C40+PAGE_6!E40+PAGE_6!G40+PAGE_6!I40+PAGE_6!K40+PAGE_6!M40+PAGE_7!C38+PAGE_7!E38</f>
        <v>0</v>
      </c>
      <c r="H38" s="124">
        <v>51934</v>
      </c>
      <c r="I38" s="174"/>
      <c r="J38" s="124">
        <v>2403</v>
      </c>
      <c r="K38" s="174"/>
      <c r="L38" s="124">
        <v>9106</v>
      </c>
      <c r="M38" s="174"/>
      <c r="N38" s="124">
        <v>200</v>
      </c>
      <c r="O38" s="174"/>
      <c r="P38" s="22"/>
      <c r="U38" s="1"/>
      <c r="V38" s="1"/>
      <c r="W38" s="1"/>
      <c r="X38" s="1"/>
      <c r="Y38" s="1"/>
      <c r="Z38" s="10"/>
      <c r="AA38" s="10"/>
      <c r="AB38" s="10"/>
      <c r="AC38" s="1"/>
      <c r="AD38" s="1"/>
      <c r="AE38" s="1"/>
      <c r="AF38" s="1"/>
      <c r="AG38" s="1"/>
      <c r="AH38" s="10"/>
      <c r="AI38" s="10"/>
      <c r="AJ38" s="10"/>
      <c r="AK38" s="10"/>
      <c r="AL38" s="54"/>
      <c r="AM38" s="54"/>
      <c r="AN38" s="54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</row>
    <row r="39" spans="1:221" ht="16.5" customHeight="1" x14ac:dyDescent="0.35">
      <c r="A39" s="129" t="s">
        <v>33</v>
      </c>
      <c r="B39" s="124">
        <v>429</v>
      </c>
      <c r="C39" s="174"/>
      <c r="D39" s="124">
        <v>1029</v>
      </c>
      <c r="E39" s="174"/>
      <c r="F39" s="124">
        <f>+PAGE_6!B41+PAGE_6!D41+PAGE_6!F41+PAGE_6!H41+PAGE_6!J41+PAGE_6!L41+PAGE_7!B39+PAGE_7!D39</f>
        <v>38784</v>
      </c>
      <c r="G39" s="174">
        <f>+PAGE_6!C41+PAGE_6!E41+PAGE_6!G41+PAGE_6!I41+PAGE_6!K41+PAGE_6!M41+PAGE_7!C39+PAGE_7!E39</f>
        <v>0</v>
      </c>
      <c r="H39" s="124">
        <v>40540</v>
      </c>
      <c r="I39" s="174"/>
      <c r="J39" s="124">
        <v>2481</v>
      </c>
      <c r="K39" s="174"/>
      <c r="L39" s="124">
        <v>9180</v>
      </c>
      <c r="M39" s="174"/>
      <c r="N39" s="124">
        <v>200</v>
      </c>
      <c r="O39" s="174"/>
      <c r="P39" s="22"/>
      <c r="U39" s="1"/>
      <c r="V39" s="1"/>
      <c r="W39" s="1"/>
      <c r="X39" s="1"/>
      <c r="Y39" s="1"/>
      <c r="Z39" s="10"/>
      <c r="AA39" s="10"/>
      <c r="AB39" s="10"/>
      <c r="AC39" s="1"/>
      <c r="AD39" s="1"/>
      <c r="AE39" s="1"/>
      <c r="AF39" s="1"/>
      <c r="AG39" s="1"/>
      <c r="AH39" s="10"/>
      <c r="AI39" s="10"/>
      <c r="AJ39" s="10"/>
      <c r="AK39" s="10"/>
      <c r="AL39" s="54"/>
      <c r="AM39" s="54"/>
      <c r="AN39" s="54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</row>
    <row r="40" spans="1:221" ht="17.649999999999999" customHeight="1" x14ac:dyDescent="0.35">
      <c r="A40" s="129" t="s">
        <v>34</v>
      </c>
      <c r="B40" s="124">
        <v>27</v>
      </c>
      <c r="C40" s="174"/>
      <c r="D40" s="124">
        <v>539</v>
      </c>
      <c r="E40" s="174"/>
      <c r="F40" s="124">
        <f>+PAGE_6!B42+PAGE_6!D42+PAGE_6!F42+PAGE_6!H42+PAGE_6!J42+PAGE_6!L42+PAGE_7!B40+PAGE_7!D40</f>
        <v>3212</v>
      </c>
      <c r="G40" s="174"/>
      <c r="H40" s="124">
        <v>41859</v>
      </c>
      <c r="I40" s="174"/>
      <c r="J40" s="124">
        <v>1693</v>
      </c>
      <c r="K40" s="174"/>
      <c r="L40" s="124">
        <v>409</v>
      </c>
      <c r="M40" s="174"/>
      <c r="N40" s="124">
        <v>150</v>
      </c>
      <c r="O40" s="174"/>
      <c r="P40" s="22"/>
      <c r="U40" s="1"/>
      <c r="V40" s="1"/>
      <c r="W40" s="1"/>
      <c r="X40" s="1"/>
      <c r="Y40" s="1"/>
      <c r="Z40" s="10"/>
      <c r="AA40" s="10"/>
      <c r="AB40" s="10"/>
      <c r="AC40" s="1"/>
      <c r="AD40" s="1"/>
      <c r="AE40" s="1"/>
      <c r="AF40" s="1"/>
      <c r="AG40" s="1"/>
      <c r="AH40" s="10"/>
      <c r="AI40" s="10"/>
      <c r="AJ40" s="10"/>
      <c r="AK40" s="10"/>
      <c r="AL40" s="54"/>
      <c r="AM40" s="54"/>
      <c r="AN40" s="54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</row>
    <row r="41" spans="1:221" ht="16.5" customHeight="1" x14ac:dyDescent="0.3">
      <c r="A41" s="129" t="s">
        <v>35</v>
      </c>
      <c r="B41" s="127">
        <v>0</v>
      </c>
      <c r="C41" s="124"/>
      <c r="D41" s="124">
        <v>500</v>
      </c>
      <c r="E41" s="124"/>
      <c r="F41" s="124">
        <f>+PAGE_6!B43+PAGE_6!D43+PAGE_6!F43+PAGE_6!H43+PAGE_6!J43+PAGE_6!L43+PAGE_7!B41+PAGE_7!D41</f>
        <v>3074</v>
      </c>
      <c r="G41" s="124"/>
      <c r="H41" s="124">
        <v>9286</v>
      </c>
      <c r="I41" s="124"/>
      <c r="J41" s="124">
        <v>4946</v>
      </c>
      <c r="K41" s="124"/>
      <c r="L41" s="124">
        <v>511</v>
      </c>
      <c r="M41" s="124"/>
      <c r="N41" s="124">
        <v>150</v>
      </c>
      <c r="O41" s="124"/>
      <c r="P41" s="14"/>
      <c r="Z41" s="15"/>
      <c r="AA41" s="15"/>
      <c r="AB41" s="15"/>
      <c r="AH41" s="15"/>
      <c r="AI41" s="15"/>
      <c r="AJ41" s="15"/>
      <c r="AK41" s="15"/>
      <c r="AL41" s="55"/>
      <c r="AM41" s="55"/>
      <c r="AN41" s="55"/>
    </row>
    <row r="42" spans="1:221" ht="17.649999999999999" customHeight="1" x14ac:dyDescent="0.3">
      <c r="A42" s="129" t="s">
        <v>36</v>
      </c>
      <c r="B42" s="124">
        <v>59</v>
      </c>
      <c r="C42" s="124"/>
      <c r="D42" s="124">
        <v>1826</v>
      </c>
      <c r="E42" s="124"/>
      <c r="F42" s="124">
        <f>+PAGE_6!B44+PAGE_6!D44+PAGE_6!F44+PAGE_6!H44+PAGE_6!J44+PAGE_6!L44+PAGE_7!B42+PAGE_7!D42</f>
        <v>56134</v>
      </c>
      <c r="G42" s="124"/>
      <c r="H42" s="124">
        <v>0</v>
      </c>
      <c r="I42" s="124">
        <f>ROUND(H42*[2]Manual_Input!K48,6)</f>
        <v>0</v>
      </c>
      <c r="J42" s="124">
        <v>2659</v>
      </c>
      <c r="K42" s="124"/>
      <c r="L42" s="124">
        <v>7323</v>
      </c>
      <c r="M42" s="124"/>
      <c r="N42" s="124">
        <v>200</v>
      </c>
      <c r="O42" s="124"/>
      <c r="P42" s="14"/>
      <c r="Z42" s="15"/>
      <c r="AA42" s="15"/>
      <c r="AB42" s="15"/>
      <c r="AH42" s="15"/>
      <c r="AI42" s="15"/>
      <c r="AJ42" s="15"/>
      <c r="AK42" s="15"/>
      <c r="AL42" s="55"/>
      <c r="AM42" s="55"/>
      <c r="AN42" s="55"/>
    </row>
    <row r="43" spans="1:221" ht="17.649999999999999" customHeight="1" x14ac:dyDescent="0.3">
      <c r="A43" s="129" t="s">
        <v>37</v>
      </c>
      <c r="B43" s="124">
        <v>127</v>
      </c>
      <c r="C43" s="124"/>
      <c r="D43" s="124">
        <v>1082</v>
      </c>
      <c r="E43" s="124"/>
      <c r="F43" s="124">
        <f>+PAGE_6!B45+PAGE_6!D45+PAGE_6!F45+PAGE_6!H45+PAGE_6!J45+PAGE_6!L45+PAGE_7!B43+PAGE_7!D43</f>
        <v>35354</v>
      </c>
      <c r="G43" s="124"/>
      <c r="H43" s="124">
        <v>17339</v>
      </c>
      <c r="I43" s="124"/>
      <c r="J43" s="124">
        <v>2395</v>
      </c>
      <c r="K43" s="124"/>
      <c r="L43" s="124">
        <v>5709</v>
      </c>
      <c r="M43" s="124"/>
      <c r="N43" s="124">
        <v>200</v>
      </c>
      <c r="O43" s="124"/>
      <c r="P43" s="14"/>
      <c r="Z43" s="15"/>
      <c r="AA43" s="15"/>
      <c r="AB43" s="15"/>
      <c r="AH43" s="15"/>
      <c r="AI43" s="15"/>
      <c r="AJ43" s="15"/>
      <c r="AK43" s="15"/>
      <c r="AL43" s="55"/>
      <c r="AM43" s="55"/>
      <c r="AN43" s="55"/>
    </row>
    <row r="44" spans="1:221" ht="17.649999999999999" customHeight="1" x14ac:dyDescent="0.3">
      <c r="A44" s="129" t="s">
        <v>38</v>
      </c>
      <c r="B44" s="124">
        <v>132</v>
      </c>
      <c r="C44" s="124"/>
      <c r="D44" s="124">
        <v>1569</v>
      </c>
      <c r="E44" s="124"/>
      <c r="F44" s="124">
        <f>+PAGE_6!B46+PAGE_6!D46+PAGE_6!F46+PAGE_6!H46+PAGE_6!J46+PAGE_6!L46+PAGE_7!B44+PAGE_7!D44</f>
        <v>79095</v>
      </c>
      <c r="G44" s="124"/>
      <c r="H44" s="124">
        <v>34429</v>
      </c>
      <c r="I44" s="124"/>
      <c r="J44" s="124">
        <v>2263</v>
      </c>
      <c r="K44" s="124"/>
      <c r="L44" s="124">
        <v>9151</v>
      </c>
      <c r="M44" s="124"/>
      <c r="N44" s="124">
        <v>200</v>
      </c>
      <c r="O44" s="124"/>
      <c r="P44" s="14"/>
      <c r="Z44" s="15"/>
      <c r="AA44" s="15"/>
      <c r="AB44" s="15"/>
      <c r="AH44" s="15"/>
      <c r="AI44" s="15"/>
      <c r="AJ44" s="15"/>
      <c r="AK44" s="15"/>
      <c r="AL44" s="55"/>
      <c r="AM44" s="55"/>
      <c r="AN44" s="55"/>
    </row>
    <row r="45" spans="1:221" ht="17.649999999999999" customHeight="1" x14ac:dyDescent="0.3">
      <c r="A45" s="129" t="s">
        <v>39</v>
      </c>
      <c r="B45" s="124">
        <v>160</v>
      </c>
      <c r="C45" s="124"/>
      <c r="D45" s="124">
        <v>1533</v>
      </c>
      <c r="E45" s="124"/>
      <c r="F45" s="124">
        <f>+PAGE_6!B47+PAGE_6!D47+PAGE_6!F47+PAGE_6!H47+PAGE_6!J47+PAGE_6!L47+PAGE_7!B45+PAGE_7!D45</f>
        <v>60903</v>
      </c>
      <c r="G45" s="124"/>
      <c r="H45" s="124">
        <v>35046</v>
      </c>
      <c r="I45" s="124"/>
      <c r="J45" s="124">
        <v>2447</v>
      </c>
      <c r="K45" s="124"/>
      <c r="L45" s="124">
        <v>9410</v>
      </c>
      <c r="M45" s="124"/>
      <c r="N45" s="124">
        <v>200</v>
      </c>
      <c r="O45" s="124"/>
      <c r="P45" s="14"/>
      <c r="Z45" s="15"/>
      <c r="AA45" s="15"/>
      <c r="AB45" s="15"/>
      <c r="AH45" s="15"/>
      <c r="AI45" s="15"/>
      <c r="AJ45" s="15"/>
      <c r="AK45" s="15"/>
      <c r="AL45" s="55"/>
      <c r="AM45" s="55"/>
      <c r="AN45" s="55"/>
    </row>
    <row r="46" spans="1:221" ht="17.649999999999999" customHeight="1" x14ac:dyDescent="0.3">
      <c r="A46" s="129" t="s">
        <v>40</v>
      </c>
      <c r="B46" s="124">
        <v>180</v>
      </c>
      <c r="C46" s="124"/>
      <c r="D46" s="124">
        <v>1430</v>
      </c>
      <c r="E46" s="124"/>
      <c r="F46" s="124">
        <f>+PAGE_6!B48+PAGE_6!D48+PAGE_6!F48+PAGE_6!H48+PAGE_6!J48+PAGE_6!L48+PAGE_7!B46+PAGE_7!D46</f>
        <v>51698</v>
      </c>
      <c r="G46" s="124"/>
      <c r="H46" s="124">
        <v>34816</v>
      </c>
      <c r="I46" s="124"/>
      <c r="J46" s="124">
        <v>2560</v>
      </c>
      <c r="K46" s="124"/>
      <c r="L46" s="124">
        <v>6408</v>
      </c>
      <c r="M46" s="124"/>
      <c r="N46" s="124">
        <v>200</v>
      </c>
      <c r="O46" s="124"/>
      <c r="P46" s="14"/>
      <c r="Z46" s="15"/>
      <c r="AA46" s="15"/>
      <c r="AB46" s="15"/>
      <c r="AH46" s="15"/>
      <c r="AI46" s="15"/>
      <c r="AJ46" s="15"/>
      <c r="AK46" s="15"/>
      <c r="AL46" s="55"/>
      <c r="AM46" s="55"/>
      <c r="AN46" s="55"/>
    </row>
    <row r="47" spans="1:221" ht="17.649999999999999" customHeight="1" x14ac:dyDescent="0.3">
      <c r="A47" s="129" t="s">
        <v>41</v>
      </c>
      <c r="B47" s="124">
        <f>[2]ActualDeliveries!F$81</f>
        <v>104</v>
      </c>
      <c r="C47" s="124"/>
      <c r="D47" s="124">
        <f>[2]ActualDeliveries!F$82</f>
        <v>1476</v>
      </c>
      <c r="E47" s="124"/>
      <c r="F47" s="124">
        <f>+PAGE_6!B49+PAGE_6!D49+PAGE_6!F49+PAGE_6!H49+PAGE_6!J49+PAGE_6!L49+PAGE_7!B47+PAGE_7!D47</f>
        <v>21115</v>
      </c>
      <c r="G47" s="124"/>
      <c r="H47" s="124">
        <f>[2]ActualDeliveries!F$87</f>
        <v>40634</v>
      </c>
      <c r="I47" s="124"/>
      <c r="J47" s="124">
        <f>[2]ActualDeliveries!F$91</f>
        <v>1497</v>
      </c>
      <c r="K47" s="124"/>
      <c r="L47" s="124">
        <f>[2]ActualDeliveries!F$92</f>
        <v>2073</v>
      </c>
      <c r="M47" s="124"/>
      <c r="N47" s="124">
        <f>[2]ActualDeliveries!F$93</f>
        <v>150</v>
      </c>
      <c r="O47" s="124"/>
      <c r="P47" s="14"/>
      <c r="Z47" s="15"/>
      <c r="AA47" s="15"/>
      <c r="AB47" s="15"/>
      <c r="AH47" s="15"/>
      <c r="AI47" s="15"/>
      <c r="AJ47" s="15"/>
      <c r="AK47" s="15"/>
      <c r="AL47" s="55"/>
      <c r="AM47" s="55"/>
      <c r="AN47" s="55"/>
    </row>
    <row r="48" spans="1:221" ht="17.649999999999999" customHeight="1" x14ac:dyDescent="0.3">
      <c r="A48" s="129" t="s">
        <v>42</v>
      </c>
      <c r="B48" s="124">
        <f t="shared" ref="B48:B56" si="0">B$58</f>
        <v>108.85714285714286</v>
      </c>
      <c r="C48" s="124"/>
      <c r="D48" s="124">
        <f t="shared" ref="D48:D56" si="1">D$58</f>
        <v>1345.1428571428571</v>
      </c>
      <c r="E48" s="124"/>
      <c r="F48" s="124">
        <f>+PAGE_6!B50+PAGE_6!D50+PAGE_6!F50+PAGE_6!H50+PAGE_6!J50+PAGE_6!L50+PAGE_7!B48+PAGE_7!D48</f>
        <v>43910.428571428572</v>
      </c>
      <c r="G48" s="124"/>
      <c r="H48" s="124">
        <f t="shared" ref="H48:H56" si="2">H$58</f>
        <v>24507.142857142859</v>
      </c>
      <c r="I48" s="124"/>
      <c r="J48" s="124">
        <f t="shared" ref="J48:J56" si="3">J$58</f>
        <v>2681</v>
      </c>
      <c r="K48" s="124"/>
      <c r="L48" s="124">
        <f t="shared" ref="L48:L56" si="4">L$58</f>
        <v>5797.8571428571431</v>
      </c>
      <c r="M48" s="124"/>
      <c r="N48" s="124">
        <f t="shared" ref="N48:N56" si="5">N$58</f>
        <v>185.71428571428572</v>
      </c>
      <c r="O48" s="124"/>
      <c r="P48" s="14"/>
      <c r="Z48" s="15"/>
      <c r="AA48" s="15"/>
      <c r="AB48" s="15"/>
      <c r="AH48" s="15"/>
      <c r="AI48" s="15"/>
      <c r="AJ48" s="15"/>
      <c r="AK48" s="15"/>
      <c r="AL48" s="55"/>
      <c r="AM48" s="55"/>
      <c r="AN48" s="55"/>
    </row>
    <row r="49" spans="1:40" ht="17.649999999999999" customHeight="1" x14ac:dyDescent="0.3">
      <c r="A49" s="129" t="s">
        <v>43</v>
      </c>
      <c r="B49" s="124">
        <f t="shared" si="0"/>
        <v>108.85714285714286</v>
      </c>
      <c r="C49" s="124">
        <f>ROUND(B49*[2]Manual_Input!K55,6)</f>
        <v>106.33128499999999</v>
      </c>
      <c r="D49" s="124">
        <f t="shared" si="1"/>
        <v>1345.1428571428571</v>
      </c>
      <c r="E49" s="124">
        <f>ROUND(D49*[2]Manual_Input!K55,6)</f>
        <v>1313.9309430000001</v>
      </c>
      <c r="F49" s="124">
        <f>+PAGE_6!B51+PAGE_6!D51+PAGE_6!F51+PAGE_6!H51+PAGE_6!J51+PAGE_6!L51+PAGE_7!B49+PAGE_7!D49</f>
        <v>43910.428571428572</v>
      </c>
      <c r="G49" s="124">
        <f>+PAGE_6!C51+PAGE_6!E51+PAGE_6!G51+PAGE_6!I51+PAGE_6!K51+PAGE_6!M51+PAGE_7!C49+PAGE_7!E49</f>
        <v>42891.556457000006</v>
      </c>
      <c r="H49" s="124">
        <f t="shared" si="2"/>
        <v>24507.142857142859</v>
      </c>
      <c r="I49" s="124">
        <f>ROUND(H49*[2]Manual_Input!K55,6)</f>
        <v>23938.493329000001</v>
      </c>
      <c r="J49" s="124">
        <f t="shared" si="3"/>
        <v>2681</v>
      </c>
      <c r="K49" s="124">
        <f>ROUND(J49*[2]Manual_Input!K55,6)</f>
        <v>2618.7916310000001</v>
      </c>
      <c r="L49" s="124">
        <f t="shared" si="4"/>
        <v>5797.8571428571431</v>
      </c>
      <c r="M49" s="124">
        <f>ROUND(L49*[2]Manual_Input!K55,6)</f>
        <v>5663.327029</v>
      </c>
      <c r="N49" s="124">
        <f t="shared" si="5"/>
        <v>185.71428571428572</v>
      </c>
      <c r="O49" s="124">
        <f>ROUND(N49*[2]Manual_Input!K55,6)</f>
        <v>181.405079</v>
      </c>
      <c r="P49" s="14"/>
      <c r="Z49" s="15"/>
      <c r="AA49" s="15"/>
      <c r="AB49" s="15"/>
      <c r="AH49" s="15"/>
      <c r="AI49" s="15"/>
      <c r="AJ49" s="15"/>
      <c r="AK49" s="15"/>
      <c r="AL49" s="55"/>
      <c r="AM49" s="55"/>
      <c r="AN49" s="55"/>
    </row>
    <row r="50" spans="1:40" ht="17.649999999999999" customHeight="1" x14ac:dyDescent="0.3">
      <c r="A50" s="129" t="s">
        <v>44</v>
      </c>
      <c r="B50" s="124">
        <f t="shared" si="0"/>
        <v>108.85714285714286</v>
      </c>
      <c r="C50" s="124">
        <f>ROUND(B50*[2]Manual_Input!K56,6)</f>
        <v>103.864035</v>
      </c>
      <c r="D50" s="124">
        <f t="shared" si="1"/>
        <v>1345.1428571428571</v>
      </c>
      <c r="E50" s="124">
        <f>ROUND(D50*[2]Manual_Input!K56,6)</f>
        <v>1283.4432509999999</v>
      </c>
      <c r="F50" s="124">
        <f>+PAGE_6!B52+PAGE_6!D52+PAGE_6!F52+PAGE_6!H52+PAGE_6!J52+PAGE_6!L52+PAGE_7!B50+PAGE_7!D50</f>
        <v>43910.428571428572</v>
      </c>
      <c r="G50" s="124">
        <f>+PAGE_6!C52+PAGE_6!E52+PAGE_6!G52+PAGE_6!I52+PAGE_6!K52+PAGE_6!M52+PAGE_7!C50+PAGE_7!E50</f>
        <v>41896.325659000002</v>
      </c>
      <c r="H50" s="124">
        <f t="shared" si="2"/>
        <v>24507.142857142859</v>
      </c>
      <c r="I50" s="124">
        <f>ROUND(H50*[2]Manual_Input!K56,6)</f>
        <v>23383.038414999999</v>
      </c>
      <c r="J50" s="124">
        <f t="shared" si="3"/>
        <v>2681</v>
      </c>
      <c r="K50" s="124">
        <f>ROUND(J50*[2]Manual_Input!K56,6)</f>
        <v>2558.0267090000002</v>
      </c>
      <c r="L50" s="124">
        <f t="shared" si="4"/>
        <v>5797.8571428571431</v>
      </c>
      <c r="M50" s="124">
        <f>ROUND(L50*[2]Manual_Input!K56,6)</f>
        <v>5531.9184729999997</v>
      </c>
      <c r="N50" s="124">
        <f t="shared" si="5"/>
        <v>185.71428571428572</v>
      </c>
      <c r="O50" s="124">
        <f>ROUND(N50*[2]Manual_Input!K56,6)</f>
        <v>177.19586100000001</v>
      </c>
      <c r="P50" s="14"/>
      <c r="Z50" s="15"/>
      <c r="AA50" s="15"/>
      <c r="AB50" s="15"/>
      <c r="AH50" s="15"/>
      <c r="AI50" s="15"/>
      <c r="AJ50" s="15"/>
      <c r="AK50" s="15"/>
      <c r="AL50" s="55"/>
      <c r="AM50" s="55"/>
      <c r="AN50" s="55"/>
    </row>
    <row r="51" spans="1:40" ht="17.649999999999999" customHeight="1" x14ac:dyDescent="0.3">
      <c r="A51" s="129" t="s">
        <v>45</v>
      </c>
      <c r="B51" s="124">
        <f t="shared" si="0"/>
        <v>108.85714285714286</v>
      </c>
      <c r="C51" s="124">
        <f>ROUND(B51*[2]Manual_Input!K57,6)</f>
        <v>101.454035</v>
      </c>
      <c r="D51" s="124">
        <f t="shared" si="1"/>
        <v>1345.1428571428571</v>
      </c>
      <c r="E51" s="124">
        <f>ROUND(D51*[2]Manual_Input!K57,6)</f>
        <v>1253.6629780000001</v>
      </c>
      <c r="F51" s="124">
        <f>+PAGE_6!B53+PAGE_6!D53+PAGE_6!F53+PAGE_6!H53+PAGE_6!J53+PAGE_6!L53+PAGE_7!B51+PAGE_7!D51</f>
        <v>43910.428571428572</v>
      </c>
      <c r="G51" s="124">
        <f>+PAGE_6!C53+PAGE_6!E53+PAGE_6!G53+PAGE_6!I53+PAGE_6!K53+PAGE_6!M53+PAGE_7!C51+PAGE_7!E51</f>
        <v>40924.187620999997</v>
      </c>
      <c r="H51" s="124">
        <f t="shared" si="2"/>
        <v>24507.142857142859</v>
      </c>
      <c r="I51" s="124">
        <f>ROUND(H51*[2]Manual_Input!K57,6)</f>
        <v>22840.471955000001</v>
      </c>
      <c r="J51" s="124">
        <f t="shared" si="3"/>
        <v>2681</v>
      </c>
      <c r="K51" s="124">
        <f>ROUND(J51*[2]Manual_Input!K57,6)</f>
        <v>2498.6717410000001</v>
      </c>
      <c r="L51" s="124">
        <f t="shared" si="4"/>
        <v>5797.8571428571431</v>
      </c>
      <c r="M51" s="124">
        <f>ROUND(L51*[2]Manual_Input!K57,6)</f>
        <v>5403.5590460000003</v>
      </c>
      <c r="N51" s="124">
        <f t="shared" si="5"/>
        <v>185.71428571428572</v>
      </c>
      <c r="O51" s="124">
        <f>ROUND(N51*[2]Manual_Input!K57,6)</f>
        <v>173.08431100000001</v>
      </c>
      <c r="P51" s="14"/>
      <c r="Z51" s="15"/>
      <c r="AA51" s="15"/>
      <c r="AB51" s="15"/>
      <c r="AH51" s="15"/>
      <c r="AI51" s="15"/>
      <c r="AJ51" s="15"/>
      <c r="AK51" s="15"/>
      <c r="AL51" s="55"/>
      <c r="AM51" s="55"/>
      <c r="AN51" s="55"/>
    </row>
    <row r="52" spans="1:40" ht="17.649999999999999" customHeight="1" x14ac:dyDescent="0.3">
      <c r="A52" s="129" t="s">
        <v>46</v>
      </c>
      <c r="B52" s="124">
        <f t="shared" si="0"/>
        <v>108.85714285714286</v>
      </c>
      <c r="C52" s="124">
        <f>ROUND(B52*[2]Manual_Input!K58,6)</f>
        <v>99.099953999999997</v>
      </c>
      <c r="D52" s="124">
        <f t="shared" si="1"/>
        <v>1345.1428571428571</v>
      </c>
      <c r="E52" s="124">
        <f>ROUND(D52*[2]Manual_Input!K58,6)</f>
        <v>1224.5737099999999</v>
      </c>
      <c r="F52" s="124">
        <f>+PAGE_6!B54+PAGE_6!D54+PAGE_6!F54+PAGE_6!H54+PAGE_6!J54+PAGE_6!L54+PAGE_7!B52+PAGE_7!D52</f>
        <v>43910.428571428572</v>
      </c>
      <c r="G52" s="124">
        <f>+PAGE_6!C54+PAGE_6!E54+PAGE_6!G54+PAGE_6!I54+PAGE_6!K54+PAGE_6!M54+PAGE_7!C52+PAGE_7!E52</f>
        <v>39974.606507999997</v>
      </c>
      <c r="H52" s="124">
        <f t="shared" si="2"/>
        <v>24507.142857142859</v>
      </c>
      <c r="I52" s="124">
        <f>ROUND(H52*[2]Manual_Input!K58,6)</f>
        <v>22310.494891999999</v>
      </c>
      <c r="J52" s="124">
        <f t="shared" si="3"/>
        <v>2681</v>
      </c>
      <c r="K52" s="124">
        <f>ROUND(J52*[2]Manual_Input!K58,6)</f>
        <v>2440.694011</v>
      </c>
      <c r="L52" s="124">
        <f t="shared" si="4"/>
        <v>5797.8571428571431</v>
      </c>
      <c r="M52" s="124">
        <f>ROUND(L52*[2]Manual_Input!K58,6)</f>
        <v>5278.1779960000003</v>
      </c>
      <c r="N52" s="124">
        <f t="shared" si="5"/>
        <v>185.71428571428572</v>
      </c>
      <c r="O52" s="124">
        <f>ROUND(N52*[2]Manual_Input!K58,6)</f>
        <v>169.068163</v>
      </c>
      <c r="P52" s="14"/>
      <c r="Z52" s="15"/>
      <c r="AA52" s="15"/>
      <c r="AB52" s="15"/>
      <c r="AH52" s="15"/>
      <c r="AI52" s="15"/>
      <c r="AJ52" s="15"/>
      <c r="AK52" s="15"/>
      <c r="AL52" s="55"/>
      <c r="AM52" s="55"/>
      <c r="AN52" s="55"/>
    </row>
    <row r="53" spans="1:40" ht="17.649999999999999" customHeight="1" x14ac:dyDescent="0.3">
      <c r="A53" s="129" t="s">
        <v>47</v>
      </c>
      <c r="B53" s="124">
        <f t="shared" si="0"/>
        <v>108.85714285714286</v>
      </c>
      <c r="C53" s="124">
        <f>ROUND(B53*[2]Manual_Input!K59,6)</f>
        <v>96.800495999999995</v>
      </c>
      <c r="D53" s="124">
        <f t="shared" si="1"/>
        <v>1345.1428571428571</v>
      </c>
      <c r="E53" s="124">
        <f>ROUND(D53*[2]Manual_Input!K59,6)</f>
        <v>1196.159412</v>
      </c>
      <c r="F53" s="124">
        <f>+PAGE_6!B55+PAGE_6!D55+PAGE_6!F55+PAGE_6!H55+PAGE_6!J55+PAGE_6!L55+PAGE_7!B53+PAGE_7!D53</f>
        <v>43910.428571428572</v>
      </c>
      <c r="G53" s="124">
        <f>+PAGE_6!C55+PAGE_6!E55+PAGE_6!G55+PAGE_6!I55+PAGE_6!K55+PAGE_6!M55+PAGE_7!C53+PAGE_7!E53</f>
        <v>39047.058925000005</v>
      </c>
      <c r="H53" s="124">
        <f t="shared" si="2"/>
        <v>24507.142857142859</v>
      </c>
      <c r="I53" s="124">
        <f>ROUND(H53*[2]Manual_Input!K59,6)</f>
        <v>21792.81511</v>
      </c>
      <c r="J53" s="124">
        <f t="shared" si="3"/>
        <v>2681</v>
      </c>
      <c r="K53" s="124">
        <f>ROUND(J53*[2]Manual_Input!K59,6)</f>
        <v>2384.0615630000002</v>
      </c>
      <c r="L53" s="124">
        <f t="shared" si="4"/>
        <v>5797.8571428571431</v>
      </c>
      <c r="M53" s="124">
        <f>ROUND(L53*[2]Manual_Input!K59,6)</f>
        <v>5155.7062150000002</v>
      </c>
      <c r="N53" s="124">
        <f t="shared" si="5"/>
        <v>185.71428571428572</v>
      </c>
      <c r="O53" s="124">
        <f>ROUND(N53*[2]Manual_Input!K59,6)</f>
        <v>165.14520300000001</v>
      </c>
      <c r="P53" s="14"/>
      <c r="Z53" s="15"/>
      <c r="AA53" s="15"/>
      <c r="AB53" s="15"/>
      <c r="AH53" s="15"/>
      <c r="AI53" s="15"/>
      <c r="AJ53" s="15"/>
      <c r="AK53" s="15"/>
      <c r="AL53" s="55"/>
      <c r="AM53" s="55"/>
      <c r="AN53" s="55"/>
    </row>
    <row r="54" spans="1:40" ht="17.649999999999999" customHeight="1" x14ac:dyDescent="0.3">
      <c r="A54" s="129" t="s">
        <v>48</v>
      </c>
      <c r="B54" s="124">
        <f t="shared" si="0"/>
        <v>108.85714285714286</v>
      </c>
      <c r="C54" s="124">
        <f>ROUND(B54*[2]Manual_Input!K60,6)</f>
        <v>94.554394000000002</v>
      </c>
      <c r="D54" s="124">
        <f t="shared" si="1"/>
        <v>1345.1428571428571</v>
      </c>
      <c r="E54" s="124">
        <f>ROUND(D54*[2]Manual_Input!K60,6)</f>
        <v>1168.404423</v>
      </c>
      <c r="F54" s="124">
        <f>+PAGE_6!B56+PAGE_6!D56+PAGE_6!F56+PAGE_6!H56+PAGE_6!J56+PAGE_6!L56+PAGE_7!B54+PAGE_7!D54</f>
        <v>43910.428571428572</v>
      </c>
      <c r="G54" s="124">
        <f>+PAGE_6!C56+PAGE_6!E56+PAGE_6!G56+PAGE_6!I56+PAGE_6!K56+PAGE_6!M56+PAGE_7!C54+PAGE_7!E54</f>
        <v>38141.033620000009</v>
      </c>
      <c r="H54" s="124">
        <f t="shared" si="2"/>
        <v>24507.142857142859</v>
      </c>
      <c r="I54" s="124">
        <f>ROUND(H54*[2]Manual_Input!K60,6)</f>
        <v>21287.147269000001</v>
      </c>
      <c r="J54" s="124">
        <f t="shared" si="3"/>
        <v>2681</v>
      </c>
      <c r="K54" s="124">
        <f>ROUND(J54*[2]Manual_Input!K60,6)</f>
        <v>2328.7431820000002</v>
      </c>
      <c r="L54" s="124">
        <f t="shared" si="4"/>
        <v>5797.8571428571431</v>
      </c>
      <c r="M54" s="124">
        <f>ROUND(L54*[2]Manual_Input!K60,6)</f>
        <v>5036.0761990000001</v>
      </c>
      <c r="N54" s="124">
        <f t="shared" si="5"/>
        <v>185.71428571428572</v>
      </c>
      <c r="O54" s="124">
        <f>ROUND(N54*[2]Manual_Input!K60,6)</f>
        <v>161.31326999999999</v>
      </c>
      <c r="P54" s="14"/>
      <c r="Z54" s="15"/>
      <c r="AA54" s="15"/>
      <c r="AB54" s="15"/>
      <c r="AH54" s="15"/>
      <c r="AI54" s="15"/>
      <c r="AJ54" s="15"/>
      <c r="AK54" s="15"/>
      <c r="AL54" s="55"/>
      <c r="AM54" s="55"/>
      <c r="AN54" s="55"/>
    </row>
    <row r="55" spans="1:40" ht="17.649999999999999" customHeight="1" x14ac:dyDescent="0.3">
      <c r="A55" s="129" t="s">
        <v>49</v>
      </c>
      <c r="B55" s="124">
        <f t="shared" si="0"/>
        <v>108.85714285714286</v>
      </c>
      <c r="C55" s="124">
        <f>ROUND(B55*[2]Manual_Input!K61,6)</f>
        <v>92.360408000000007</v>
      </c>
      <c r="D55" s="124">
        <f t="shared" si="1"/>
        <v>1345.1428571428571</v>
      </c>
      <c r="E55" s="124">
        <f>ROUND(D55*[2]Manual_Input!K61,6)</f>
        <v>1141.2934439999999</v>
      </c>
      <c r="F55" s="124">
        <f>+PAGE_6!B57+PAGE_6!D57+PAGE_6!F57+PAGE_6!H57+PAGE_6!J57+PAGE_6!L57+PAGE_7!B55+PAGE_7!D55</f>
        <v>43910.428571428572</v>
      </c>
      <c r="G55" s="124">
        <f>+PAGE_6!C57+PAGE_6!E57+PAGE_6!G57+PAGE_6!I57+PAGE_6!K57+PAGE_6!M57+PAGE_7!C55+PAGE_7!E55</f>
        <v>37256.031198000004</v>
      </c>
      <c r="H55" s="124">
        <f t="shared" si="2"/>
        <v>24507.142857142859</v>
      </c>
      <c r="I55" s="124">
        <f>ROUND(H55*[2]Manual_Input!K61,6)</f>
        <v>20793.212651000002</v>
      </c>
      <c r="J55" s="124">
        <f t="shared" si="3"/>
        <v>2681</v>
      </c>
      <c r="K55" s="124">
        <f>ROUND(J55*[2]Manual_Input!K61,6)</f>
        <v>2274.7083750000002</v>
      </c>
      <c r="L55" s="124">
        <f t="shared" si="4"/>
        <v>5797.8571428571431</v>
      </c>
      <c r="M55" s="124">
        <f>ROUND(L55*[2]Manual_Input!K61,6)</f>
        <v>4919.2220079999997</v>
      </c>
      <c r="N55" s="124">
        <f t="shared" si="5"/>
        <v>185.71428571428572</v>
      </c>
      <c r="O55" s="124">
        <f>ROUND(N55*[2]Manual_Input!K61,6)</f>
        <v>157.57024999999999</v>
      </c>
      <c r="P55" s="14"/>
      <c r="Z55" s="15"/>
      <c r="AA55" s="15"/>
      <c r="AB55" s="15"/>
      <c r="AH55" s="15"/>
      <c r="AI55" s="15"/>
      <c r="AJ55" s="15"/>
      <c r="AK55" s="15"/>
      <c r="AL55" s="55"/>
      <c r="AM55" s="55"/>
      <c r="AN55" s="55"/>
    </row>
    <row r="56" spans="1:40" ht="17.649999999999999" customHeight="1" thickBot="1" x14ac:dyDescent="0.35">
      <c r="A56" s="129" t="s">
        <v>50</v>
      </c>
      <c r="B56" s="124">
        <f t="shared" si="0"/>
        <v>108.85714285714286</v>
      </c>
      <c r="C56" s="124">
        <f>ROUND(B56*[2]Manual_Input!K62,6)</f>
        <v>90.217331000000001</v>
      </c>
      <c r="D56" s="124">
        <f t="shared" si="1"/>
        <v>1345.1428571428571</v>
      </c>
      <c r="E56" s="124">
        <f>ROUND(D56*[2]Manual_Input!K62,6)</f>
        <v>1114.8115330000001</v>
      </c>
      <c r="F56" s="124">
        <f>+PAGE_6!B58+PAGE_6!D58+PAGE_6!F58+PAGE_6!H58+PAGE_6!J58+PAGE_6!L58+PAGE_7!B56+PAGE_7!D56</f>
        <v>43910.428571428572</v>
      </c>
      <c r="G56" s="124">
        <f>+PAGE_6!C58+PAGE_6!E58+PAGE_6!G58+PAGE_6!I58+PAGE_6!K58+PAGE_6!M58+PAGE_7!C56+PAGE_7!E56</f>
        <v>36391.563860000002</v>
      </c>
      <c r="H56" s="124">
        <f t="shared" si="2"/>
        <v>24507.142857142859</v>
      </c>
      <c r="I56" s="124">
        <f>ROUND(H56*[2]Manual_Input!K62,6)</f>
        <v>20310.739004999999</v>
      </c>
      <c r="J56" s="124">
        <f t="shared" si="3"/>
        <v>2681</v>
      </c>
      <c r="K56" s="124">
        <f>ROUND(J56*[2]Manual_Input!K62,6)</f>
        <v>2221.9273619999999</v>
      </c>
      <c r="L56" s="124">
        <f t="shared" si="4"/>
        <v>5797.8571428571431</v>
      </c>
      <c r="M56" s="124">
        <f>ROUND(L56*[2]Manual_Input!K62,6)</f>
        <v>4805.0792339999998</v>
      </c>
      <c r="N56" s="124">
        <f t="shared" si="5"/>
        <v>185.71428571428572</v>
      </c>
      <c r="O56" s="124">
        <f>ROUND(N56*[2]Manual_Input!K62,6)</f>
        <v>153.91408200000001</v>
      </c>
      <c r="P56" s="14"/>
      <c r="Z56" s="15"/>
      <c r="AA56" s="15"/>
      <c r="AB56" s="15"/>
      <c r="AH56" s="15"/>
      <c r="AI56" s="15"/>
      <c r="AJ56" s="15"/>
      <c r="AK56" s="15"/>
      <c r="AL56" s="55"/>
      <c r="AM56" s="55"/>
      <c r="AN56" s="55"/>
    </row>
    <row r="57" spans="1:40" ht="17.649999999999999" customHeight="1" x14ac:dyDescent="0.3">
      <c r="A57" s="129" t="s">
        <v>51</v>
      </c>
      <c r="B57" s="133">
        <f>SUM(B7:B56)</f>
        <v>12503.714285714288</v>
      </c>
      <c r="C57" s="133">
        <f>SUM(C7:C56)</f>
        <v>784.68193800000017</v>
      </c>
      <c r="D57" s="133">
        <f t="shared" ref="D57" si="6">SUM(D7:D56)</f>
        <v>42057.285714285703</v>
      </c>
      <c r="E57" s="133">
        <f>SUM(E7:E56)</f>
        <v>9696.2796940000007</v>
      </c>
      <c r="F57" s="133">
        <f>SUM(F7:F56)</f>
        <v>2539122.8571428577</v>
      </c>
      <c r="G57" s="133">
        <f>SUM(G7:G56)</f>
        <v>316522.36384800001</v>
      </c>
      <c r="H57" s="133">
        <f t="shared" ref="H57:O57" si="7">SUM(H7:H56)</f>
        <v>710589.28571428556</v>
      </c>
      <c r="I57" s="133">
        <f t="shared" si="7"/>
        <v>176656.412626</v>
      </c>
      <c r="J57" s="133">
        <f t="shared" si="7"/>
        <v>160892</v>
      </c>
      <c r="K57" s="133">
        <f t="shared" si="7"/>
        <v>19325.624573999998</v>
      </c>
      <c r="L57" s="133">
        <f t="shared" si="7"/>
        <v>265659.7142857142</v>
      </c>
      <c r="M57" s="133">
        <f t="shared" si="7"/>
        <v>41793.066199999994</v>
      </c>
      <c r="N57" s="133">
        <f t="shared" si="7"/>
        <v>9212.4285714285725</v>
      </c>
      <c r="O57" s="133">
        <f t="shared" si="7"/>
        <v>1338.6962190000002</v>
      </c>
      <c r="P57" s="14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55"/>
      <c r="AM57" s="55"/>
      <c r="AN57" s="55"/>
    </row>
    <row r="58" spans="1:40" ht="17.649999999999999" customHeight="1" x14ac:dyDescent="0.3">
      <c r="A58" s="129" t="s">
        <v>72</v>
      </c>
      <c r="B58" s="124">
        <f>AVERAGE(B41:B47)</f>
        <v>108.85714285714286</v>
      </c>
      <c r="C58" s="124"/>
      <c r="D58" s="124">
        <f>AVERAGE(D41:D47)</f>
        <v>1345.1428571428571</v>
      </c>
      <c r="E58" s="124"/>
      <c r="F58" s="124">
        <f>AVERAGE(F41:F47)</f>
        <v>43910.428571428572</v>
      </c>
      <c r="G58" s="124">
        <f>+PAGE_6!C60+PAGE_6!E60+PAGE_6!G60+PAGE_6!I60+PAGE_6!K60+PAGE_6!M60+PAGE_7!C58+PAGE_7!E58</f>
        <v>0</v>
      </c>
      <c r="H58" s="124">
        <f>AVERAGE(H41:H47)</f>
        <v>24507.142857142859</v>
      </c>
      <c r="I58" s="124"/>
      <c r="J58" s="124">
        <f>AVERAGE(J41:J47)</f>
        <v>2681</v>
      </c>
      <c r="K58" s="125"/>
      <c r="L58" s="124">
        <f>AVERAGE(L41:L47)</f>
        <v>5797.8571428571431</v>
      </c>
      <c r="M58" s="125"/>
      <c r="N58" s="124">
        <f>AVERAGE(N41:N47)</f>
        <v>185.71428571428572</v>
      </c>
      <c r="O58" s="192"/>
      <c r="P58" s="14"/>
      <c r="Q58" s="9"/>
      <c r="R58" s="9"/>
      <c r="S58" s="9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55"/>
      <c r="AM58" s="55"/>
      <c r="AN58" s="55"/>
    </row>
    <row r="59" spans="1:40" ht="17.649999999999999" customHeight="1" x14ac:dyDescent="0.3">
      <c r="A59" s="129" t="s">
        <v>53</v>
      </c>
      <c r="B59" s="125">
        <f>+SUM(B49:B56)</f>
        <v>870.857142857143</v>
      </c>
      <c r="C59" s="125">
        <f t="shared" ref="C59:O59" si="8">+SUM(C49:C56)</f>
        <v>784.68193800000017</v>
      </c>
      <c r="D59" s="125">
        <f t="shared" si="8"/>
        <v>10761.142857142857</v>
      </c>
      <c r="E59" s="125">
        <f t="shared" si="8"/>
        <v>9696.2796940000007</v>
      </c>
      <c r="F59" s="125">
        <f t="shared" si="8"/>
        <v>351283.42857142858</v>
      </c>
      <c r="G59" s="125">
        <f t="shared" si="8"/>
        <v>316522.36384800001</v>
      </c>
      <c r="H59" s="125">
        <f t="shared" si="8"/>
        <v>196057.1428571429</v>
      </c>
      <c r="I59" s="125">
        <f t="shared" si="8"/>
        <v>176656.412626</v>
      </c>
      <c r="J59" s="125">
        <f t="shared" si="8"/>
        <v>21448</v>
      </c>
      <c r="K59" s="125">
        <f t="shared" si="8"/>
        <v>19325.624573999998</v>
      </c>
      <c r="L59" s="125">
        <f t="shared" si="8"/>
        <v>46382.857142857152</v>
      </c>
      <c r="M59" s="125">
        <f t="shared" si="8"/>
        <v>41793.066199999994</v>
      </c>
      <c r="N59" s="125">
        <f t="shared" si="8"/>
        <v>1485.714285714286</v>
      </c>
      <c r="O59" s="125">
        <f t="shared" si="8"/>
        <v>1338.6962190000002</v>
      </c>
      <c r="P59" s="14"/>
      <c r="Q59" s="14"/>
      <c r="R59" s="14"/>
      <c r="S59" s="14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55"/>
      <c r="AM59" s="55"/>
      <c r="AN59" s="55"/>
    </row>
    <row r="60" spans="1:40" x14ac:dyDescent="0.2">
      <c r="A60" s="32"/>
      <c r="B60" s="9"/>
      <c r="C60" s="9"/>
      <c r="D60" s="9"/>
      <c r="E60" s="9"/>
      <c r="F60" s="9"/>
      <c r="G60" s="14"/>
      <c r="H60" s="9"/>
      <c r="I60" s="9"/>
      <c r="J60" s="9"/>
      <c r="K60" s="9"/>
      <c r="L60" s="9"/>
      <c r="M60" s="9"/>
      <c r="P60" s="9"/>
      <c r="Q60" s="14"/>
      <c r="R60" s="14"/>
      <c r="S60" s="1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55"/>
      <c r="AM60" s="55"/>
      <c r="AN60" s="55"/>
    </row>
    <row r="61" spans="1:40" x14ac:dyDescent="0.2">
      <c r="A61" s="32"/>
      <c r="B61" s="9"/>
      <c r="C61" s="9"/>
      <c r="D61" s="9"/>
      <c r="E61" s="9"/>
      <c r="F61" s="9"/>
      <c r="G61" s="14"/>
      <c r="H61" s="9"/>
      <c r="I61" s="9"/>
      <c r="J61" s="9"/>
      <c r="K61" s="9"/>
      <c r="L61" s="9"/>
      <c r="M61" s="9"/>
      <c r="P61" s="9"/>
      <c r="Q61" s="14"/>
      <c r="R61" s="14"/>
      <c r="S61" s="1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55"/>
      <c r="AM61" s="55"/>
      <c r="AN61" s="55"/>
    </row>
    <row r="62" spans="1:40" ht="24" customHeight="1" x14ac:dyDescent="0.2">
      <c r="A62" s="32"/>
      <c r="B62" s="14"/>
      <c r="C62" s="14"/>
      <c r="D62" s="14"/>
      <c r="E62" s="14"/>
      <c r="F62" s="14"/>
      <c r="G62" s="14"/>
      <c r="H62" s="9"/>
      <c r="I62" s="9"/>
      <c r="J62" s="9"/>
      <c r="K62" s="9"/>
      <c r="L62" s="9"/>
      <c r="M62" s="56"/>
      <c r="P62" s="9"/>
      <c r="R62" s="57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55"/>
      <c r="AM62" s="55"/>
      <c r="AN62" s="55"/>
    </row>
    <row r="63" spans="1:40" x14ac:dyDescent="0.2">
      <c r="A63" s="32"/>
      <c r="B63" s="14"/>
      <c r="C63" s="14"/>
      <c r="D63" s="14"/>
      <c r="E63" s="14"/>
      <c r="F63" s="14"/>
      <c r="G63" s="14"/>
      <c r="H63" s="9"/>
      <c r="I63" s="9"/>
      <c r="J63" s="9"/>
      <c r="K63" s="9"/>
      <c r="L63" s="9"/>
      <c r="M63" s="56"/>
      <c r="P63" s="9"/>
      <c r="R63" s="57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55"/>
      <c r="AM63" s="55"/>
      <c r="AN63" s="55"/>
    </row>
    <row r="64" spans="1:40" x14ac:dyDescent="0.2">
      <c r="A64" s="32"/>
      <c r="B64" s="14"/>
      <c r="C64" s="14"/>
      <c r="D64" s="14"/>
      <c r="E64" s="14"/>
      <c r="F64" s="14"/>
      <c r="G64" s="14"/>
      <c r="H64" s="9"/>
      <c r="I64" s="9"/>
      <c r="J64" s="9"/>
      <c r="K64" s="9"/>
      <c r="L64" s="9"/>
      <c r="M64" s="9"/>
      <c r="N64" s="14"/>
      <c r="O64" s="14"/>
      <c r="P64" s="9"/>
      <c r="Q64" s="9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55"/>
      <c r="AM64" s="55"/>
      <c r="AN64" s="55"/>
    </row>
    <row r="65" spans="1:40" x14ac:dyDescent="0.2">
      <c r="A65" s="32"/>
      <c r="B65" s="14"/>
      <c r="C65" s="14"/>
      <c r="D65" s="14"/>
      <c r="E65" s="14"/>
      <c r="F65" s="14"/>
      <c r="G65" s="14"/>
      <c r="H65" s="9"/>
      <c r="I65" s="9"/>
      <c r="J65" s="9"/>
      <c r="K65" s="9"/>
      <c r="L65" s="9"/>
      <c r="M65" s="9"/>
      <c r="N65" s="14"/>
      <c r="O65" s="14"/>
      <c r="P65" s="9"/>
      <c r="Q65" s="9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55"/>
      <c r="AM65" s="55"/>
      <c r="AN65" s="55"/>
    </row>
    <row r="66" spans="1:40" x14ac:dyDescent="0.2">
      <c r="A66" s="32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40" x14ac:dyDescent="0.2">
      <c r="B67" s="14"/>
      <c r="C67" s="14"/>
      <c r="D67" s="14"/>
      <c r="E67" s="14"/>
      <c r="F67" s="14"/>
      <c r="G67" s="14"/>
    </row>
    <row r="68" spans="1:40" x14ac:dyDescent="0.2">
      <c r="B68" s="14"/>
      <c r="C68" s="14"/>
      <c r="D68" s="14"/>
      <c r="E68" s="14"/>
      <c r="F68" s="14"/>
      <c r="G68" s="14"/>
    </row>
    <row r="69" spans="1:40" x14ac:dyDescent="0.2">
      <c r="B69" s="14"/>
      <c r="C69" s="14"/>
      <c r="D69" s="14"/>
      <c r="E69" s="14"/>
      <c r="F69" s="14"/>
      <c r="G69" s="14"/>
    </row>
  </sheetData>
  <printOptions horizontalCentered="1"/>
  <pageMargins left="0" right="0" top="0" bottom="0" header="0.25" footer="0.25"/>
  <pageSetup scale="41" orientation="landscape" r:id="rId1"/>
  <headerFooter>
    <oddFooter>&amp;RSchedule A-13
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F5CF-7314-4DFA-AE80-26532A589AD5}">
  <sheetPr transitionEvaluation="1" transitionEntry="1"/>
  <dimension ref="A1:GZ81"/>
  <sheetViews>
    <sheetView defaultGridColor="0" view="pageBreakPreview" topLeftCell="C1" colorId="22" zoomScaleNormal="60" zoomScaleSheetLayoutView="100" workbookViewId="0">
      <selection activeCell="K8" sqref="K8"/>
    </sheetView>
  </sheetViews>
  <sheetFormatPr defaultColWidth="9.77734375" defaultRowHeight="15" x14ac:dyDescent="0.2"/>
  <cols>
    <col min="1" max="1" width="20.88671875" style="18" customWidth="1"/>
    <col min="2" max="2" width="19.33203125" style="11" customWidth="1"/>
    <col min="3" max="3" width="17.109375" style="11" customWidth="1"/>
    <col min="4" max="5" width="16" style="11" customWidth="1"/>
    <col min="6" max="6" width="16.88671875" style="11" customWidth="1"/>
    <col min="7" max="7" width="15.6640625" style="11" customWidth="1"/>
    <col min="8" max="8" width="17.109375" style="11" customWidth="1"/>
    <col min="9" max="9" width="16.44140625" style="11" customWidth="1"/>
    <col min="10" max="10" width="13.77734375" style="11" customWidth="1"/>
    <col min="11" max="11" width="14.77734375" style="11" customWidth="1"/>
    <col min="12" max="12" width="1.21875" style="11" customWidth="1"/>
    <col min="13" max="14" width="2.77734375" style="11" customWidth="1"/>
    <col min="15" max="16384" width="9.77734375" style="11"/>
  </cols>
  <sheetData>
    <row r="1" spans="1:208" s="1" customFormat="1" ht="40.5" x14ac:dyDescent="0.35">
      <c r="A1" s="165" t="str">
        <f>[2]INFORMATION!A1</f>
        <v>M&amp;I 2023 Sch A-13 F.Z25.XLSM</v>
      </c>
      <c r="B1" s="152"/>
      <c r="C1" s="152"/>
      <c r="D1" s="152"/>
      <c r="E1" s="152"/>
      <c r="F1" s="152"/>
      <c r="G1" s="118"/>
      <c r="H1" s="118"/>
      <c r="I1" s="118"/>
      <c r="J1" s="174"/>
      <c r="K1" s="116"/>
      <c r="L1" s="22"/>
      <c r="V1" s="53"/>
      <c r="AA1" s="31"/>
    </row>
    <row r="2" spans="1:208" s="1" customFormat="1" ht="20.25" x14ac:dyDescent="0.35">
      <c r="A2" s="200" t="str">
        <f>[2]INFORMATION!A2</f>
        <v>09/13/2022</v>
      </c>
      <c r="B2" s="152"/>
      <c r="C2" s="152"/>
      <c r="D2" s="152"/>
      <c r="E2" s="152"/>
      <c r="F2" s="152"/>
      <c r="G2" s="118"/>
      <c r="H2" s="118"/>
      <c r="I2" s="118"/>
      <c r="J2" s="174"/>
      <c r="K2" s="116"/>
      <c r="L2" s="22"/>
      <c r="V2" s="53"/>
      <c r="AA2" s="31"/>
    </row>
    <row r="3" spans="1:208" s="1" customFormat="1" ht="40.5" x14ac:dyDescent="0.35">
      <c r="A3" s="180" t="str">
        <f>PAGE_1!A3</f>
        <v>CENTRAL VALLEY PROJECT</v>
      </c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"/>
      <c r="M3" s="2"/>
      <c r="N3" s="2"/>
    </row>
    <row r="4" spans="1:208" s="1" customFormat="1" ht="101.25" x14ac:dyDescent="0.35">
      <c r="A4" s="180" t="str">
        <f>PAGE_1!A4</f>
        <v>SCHEDULE OF HISTORICAL (1981-2021) &amp; PROJECTED (2022-2030) M&amp;I WATER DELIVERIES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2"/>
      <c r="M4" s="2"/>
      <c r="N4" s="2"/>
    </row>
    <row r="5" spans="1:208" s="1" customFormat="1" ht="162" x14ac:dyDescent="0.35">
      <c r="A5" s="180" t="str">
        <f>+PAGE_1!A5</f>
        <v xml:space="preserve">AND PRESENT WORTH @ .023755 FOR CALCULATION OF INDIVIDUAL CONTRACTOR PRORATED CONSTRUCTION COSTS AND RATE   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2"/>
      <c r="M5" s="2"/>
      <c r="N5" s="2"/>
    </row>
    <row r="6" spans="1:208" s="25" customFormat="1" ht="120.75" x14ac:dyDescent="0.3">
      <c r="A6" s="167" t="s">
        <v>0</v>
      </c>
      <c r="B6" s="204" t="s">
        <v>111</v>
      </c>
      <c r="C6" s="204" t="s">
        <v>112</v>
      </c>
      <c r="D6" s="204" t="s">
        <v>285</v>
      </c>
      <c r="E6" s="205" t="s">
        <v>286</v>
      </c>
      <c r="F6" s="206" t="s">
        <v>113</v>
      </c>
      <c r="G6" s="207" t="s">
        <v>114</v>
      </c>
      <c r="H6" s="207" t="s">
        <v>115</v>
      </c>
      <c r="I6" s="207" t="s">
        <v>116</v>
      </c>
      <c r="J6" s="207" t="s">
        <v>287</v>
      </c>
      <c r="K6" s="208" t="s">
        <v>288</v>
      </c>
      <c r="L6" s="23"/>
    </row>
    <row r="7" spans="1:208" ht="17.850000000000001" customHeight="1" x14ac:dyDescent="0.35">
      <c r="A7" s="122" t="s">
        <v>4</v>
      </c>
      <c r="B7" s="124">
        <v>33</v>
      </c>
      <c r="C7" s="174"/>
      <c r="D7" s="124">
        <f>SUM(PAGE_7!J7,PAGE_7!L7,PAGE_7!N7,B7)</f>
        <v>2145</v>
      </c>
      <c r="E7" s="174"/>
      <c r="F7" s="127">
        <v>0</v>
      </c>
      <c r="G7" s="174"/>
      <c r="H7" s="127">
        <v>0</v>
      </c>
      <c r="I7" s="174"/>
      <c r="J7" s="127">
        <f t="shared" ref="J7:J38" si="0">SUM(F7+H7)</f>
        <v>0</v>
      </c>
      <c r="K7" s="174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</row>
    <row r="8" spans="1:208" ht="15" customHeight="1" x14ac:dyDescent="0.35">
      <c r="A8" s="122" t="s">
        <v>5</v>
      </c>
      <c r="B8" s="124">
        <v>17</v>
      </c>
      <c r="C8" s="174"/>
      <c r="D8" s="124">
        <f>SUM(PAGE_7!J8,PAGE_7!L8,PAGE_7!N8,B8)</f>
        <v>7787</v>
      </c>
      <c r="E8" s="174"/>
      <c r="F8" s="127">
        <v>0</v>
      </c>
      <c r="G8" s="174"/>
      <c r="H8" s="127">
        <v>0</v>
      </c>
      <c r="I8" s="174"/>
      <c r="J8" s="127">
        <f t="shared" si="0"/>
        <v>0</v>
      </c>
      <c r="K8" s="174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</row>
    <row r="9" spans="1:208" ht="17.850000000000001" customHeight="1" x14ac:dyDescent="0.35">
      <c r="A9" s="122" t="s">
        <v>6</v>
      </c>
      <c r="B9" s="124">
        <v>31</v>
      </c>
      <c r="C9" s="174"/>
      <c r="D9" s="124">
        <f>SUM(PAGE_7!J9,PAGE_7!L9,PAGE_7!N9,B9)</f>
        <v>2636</v>
      </c>
      <c r="E9" s="174"/>
      <c r="F9" s="127">
        <v>0</v>
      </c>
      <c r="G9" s="174"/>
      <c r="H9" s="127">
        <v>0</v>
      </c>
      <c r="I9" s="174"/>
      <c r="J9" s="127">
        <f t="shared" si="0"/>
        <v>0</v>
      </c>
      <c r="K9" s="174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</row>
    <row r="10" spans="1:208" ht="15" customHeight="1" x14ac:dyDescent="0.35">
      <c r="A10" s="122" t="s">
        <v>7</v>
      </c>
      <c r="B10" s="124">
        <v>60</v>
      </c>
      <c r="C10" s="174"/>
      <c r="D10" s="124">
        <f>SUM(PAGE_7!J10,PAGE_7!L10,PAGE_7!N10,B10)</f>
        <v>5459</v>
      </c>
      <c r="E10" s="174"/>
      <c r="F10" s="127">
        <v>0</v>
      </c>
      <c r="G10" s="174"/>
      <c r="H10" s="127">
        <v>0</v>
      </c>
      <c r="I10" s="174"/>
      <c r="J10" s="127">
        <f t="shared" si="0"/>
        <v>0</v>
      </c>
      <c r="K10" s="174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</row>
    <row r="11" spans="1:208" ht="16.5" customHeight="1" x14ac:dyDescent="0.35">
      <c r="A11" s="122" t="s">
        <v>8</v>
      </c>
      <c r="B11" s="124">
        <v>75</v>
      </c>
      <c r="C11" s="174"/>
      <c r="D11" s="124">
        <f>SUM(PAGE_7!J11,PAGE_7!L11,PAGE_7!N11,B11)</f>
        <v>4901</v>
      </c>
      <c r="E11" s="174"/>
      <c r="F11" s="127">
        <v>0</v>
      </c>
      <c r="G11" s="174"/>
      <c r="H11" s="127">
        <v>0</v>
      </c>
      <c r="I11" s="174"/>
      <c r="J11" s="127">
        <f t="shared" si="0"/>
        <v>0</v>
      </c>
      <c r="K11" s="174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</row>
    <row r="12" spans="1:208" ht="16.5" customHeight="1" x14ac:dyDescent="0.35">
      <c r="A12" s="122" t="s">
        <v>9</v>
      </c>
      <c r="B12" s="124">
        <v>34</v>
      </c>
      <c r="C12" s="174"/>
      <c r="D12" s="124">
        <f>SUM(PAGE_7!J12,PAGE_7!L12,PAGE_7!N12,B12)</f>
        <v>3663</v>
      </c>
      <c r="E12" s="174"/>
      <c r="F12" s="127">
        <v>0</v>
      </c>
      <c r="G12" s="174"/>
      <c r="H12" s="127">
        <v>0</v>
      </c>
      <c r="I12" s="174"/>
      <c r="J12" s="127">
        <f t="shared" si="0"/>
        <v>0</v>
      </c>
      <c r="K12" s="174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</row>
    <row r="13" spans="1:208" ht="15" customHeight="1" x14ac:dyDescent="0.35">
      <c r="A13" s="122" t="s">
        <v>10</v>
      </c>
      <c r="B13" s="124">
        <v>25</v>
      </c>
      <c r="C13" s="174"/>
      <c r="D13" s="124">
        <f>SUM(PAGE_7!J13,PAGE_7!L13,PAGE_7!N13,B13)</f>
        <v>6164</v>
      </c>
      <c r="E13" s="174"/>
      <c r="F13" s="127">
        <v>0</v>
      </c>
      <c r="G13" s="174"/>
      <c r="H13" s="124">
        <v>20784</v>
      </c>
      <c r="I13" s="174"/>
      <c r="J13" s="124">
        <f t="shared" si="0"/>
        <v>20784</v>
      </c>
      <c r="K13" s="174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</row>
    <row r="14" spans="1:208" ht="17.850000000000001" customHeight="1" x14ac:dyDescent="0.35">
      <c r="A14" s="122" t="s">
        <v>11</v>
      </c>
      <c r="B14" s="124">
        <v>25</v>
      </c>
      <c r="C14" s="174"/>
      <c r="D14" s="124">
        <f>SUM(PAGE_7!J14,PAGE_7!L14,PAGE_7!N14,B14)</f>
        <v>5378</v>
      </c>
      <c r="E14" s="174"/>
      <c r="F14" s="124">
        <v>1100</v>
      </c>
      <c r="G14" s="174"/>
      <c r="H14" s="124">
        <v>73965</v>
      </c>
      <c r="I14" s="174"/>
      <c r="J14" s="124">
        <f t="shared" si="0"/>
        <v>75065</v>
      </c>
      <c r="K14" s="174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</row>
    <row r="15" spans="1:208" ht="16.5" customHeight="1" x14ac:dyDescent="0.35">
      <c r="A15" s="122" t="s">
        <v>12</v>
      </c>
      <c r="B15" s="124">
        <v>100</v>
      </c>
      <c r="C15" s="174"/>
      <c r="D15" s="124">
        <f>SUM(PAGE_7!J15,PAGE_7!L15,PAGE_7!N15,B15)</f>
        <v>7109</v>
      </c>
      <c r="E15" s="174"/>
      <c r="F15" s="124">
        <v>986</v>
      </c>
      <c r="G15" s="174"/>
      <c r="H15" s="124">
        <f>111129-17500</f>
        <v>93629</v>
      </c>
      <c r="I15" s="174"/>
      <c r="J15" s="124">
        <f t="shared" si="0"/>
        <v>94615</v>
      </c>
      <c r="K15" s="174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</row>
    <row r="16" spans="1:208" ht="16.5" customHeight="1" x14ac:dyDescent="0.35">
      <c r="A16" s="122" t="s">
        <v>13</v>
      </c>
      <c r="B16" s="124">
        <v>-50</v>
      </c>
      <c r="C16" s="174"/>
      <c r="D16" s="124">
        <f>SUM(PAGE_7!J16,PAGE_7!L16,PAGE_7!N16,B16)</f>
        <v>8257</v>
      </c>
      <c r="E16" s="174"/>
      <c r="F16" s="124">
        <v>904</v>
      </c>
      <c r="G16" s="174"/>
      <c r="H16" s="124">
        <f>69986-5500</f>
        <v>64486</v>
      </c>
      <c r="I16" s="174"/>
      <c r="J16" s="124">
        <f t="shared" si="0"/>
        <v>65390</v>
      </c>
      <c r="K16" s="174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</row>
    <row r="17" spans="1:208" ht="17.850000000000001" customHeight="1" x14ac:dyDescent="0.35">
      <c r="A17" s="122" t="s">
        <v>14</v>
      </c>
      <c r="B17" s="124">
        <v>19</v>
      </c>
      <c r="C17" s="174"/>
      <c r="D17" s="124">
        <f>SUM(PAGE_7!J17,PAGE_7!L17,PAGE_7!N17,B17)</f>
        <v>7753</v>
      </c>
      <c r="E17" s="174"/>
      <c r="F17" s="124">
        <v>250</v>
      </c>
      <c r="G17" s="174"/>
      <c r="H17" s="124">
        <v>53102</v>
      </c>
      <c r="I17" s="174"/>
      <c r="J17" s="124">
        <f t="shared" si="0"/>
        <v>53352</v>
      </c>
      <c r="K17" s="174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</row>
    <row r="18" spans="1:208" ht="17.850000000000001" customHeight="1" x14ac:dyDescent="0.35">
      <c r="A18" s="122" t="s">
        <v>15</v>
      </c>
      <c r="B18" s="124">
        <v>26</v>
      </c>
      <c r="C18" s="174"/>
      <c r="D18" s="124">
        <f>SUM(PAGE_7!J18,PAGE_7!L18,PAGE_7!N18,B18)</f>
        <v>7601</v>
      </c>
      <c r="E18" s="174"/>
      <c r="F18" s="124">
        <v>330</v>
      </c>
      <c r="G18" s="174"/>
      <c r="H18" s="124">
        <v>69200</v>
      </c>
      <c r="I18" s="174"/>
      <c r="J18" s="124">
        <f t="shared" si="0"/>
        <v>69530</v>
      </c>
      <c r="K18" s="174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</row>
    <row r="19" spans="1:208" ht="17.850000000000001" customHeight="1" x14ac:dyDescent="0.35">
      <c r="A19" s="122" t="s">
        <v>16</v>
      </c>
      <c r="B19" s="127">
        <v>0</v>
      </c>
      <c r="C19" s="174"/>
      <c r="D19" s="124">
        <f>SUM(PAGE_7!J19,PAGE_7!L19,PAGE_7!N19,B19)</f>
        <v>8314</v>
      </c>
      <c r="E19" s="174"/>
      <c r="F19" s="124">
        <v>550</v>
      </c>
      <c r="G19" s="174"/>
      <c r="H19" s="124">
        <v>55516</v>
      </c>
      <c r="I19" s="174"/>
      <c r="J19" s="124">
        <f t="shared" si="0"/>
        <v>56066</v>
      </c>
      <c r="K19" s="174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</row>
    <row r="20" spans="1:208" ht="17.850000000000001" customHeight="1" x14ac:dyDescent="0.35">
      <c r="A20" s="122" t="s">
        <v>17</v>
      </c>
      <c r="B20" s="124">
        <v>44</v>
      </c>
      <c r="C20" s="174"/>
      <c r="D20" s="124">
        <f>SUM(PAGE_7!J20,PAGE_7!L20,PAGE_7!N20,B20)</f>
        <v>9321</v>
      </c>
      <c r="E20" s="174"/>
      <c r="F20" s="124">
        <v>529</v>
      </c>
      <c r="G20" s="174"/>
      <c r="H20" s="124">
        <v>81313</v>
      </c>
      <c r="I20" s="174"/>
      <c r="J20" s="124">
        <f t="shared" si="0"/>
        <v>81842</v>
      </c>
      <c r="K20" s="174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</row>
    <row r="21" spans="1:208" ht="17.850000000000001" customHeight="1" x14ac:dyDescent="0.35">
      <c r="A21" s="122" t="s">
        <v>18</v>
      </c>
      <c r="B21" s="124">
        <v>25</v>
      </c>
      <c r="C21" s="174"/>
      <c r="D21" s="124">
        <f>SUM(PAGE_7!J21,PAGE_7!L21,PAGE_7!N21,B21)</f>
        <v>8671</v>
      </c>
      <c r="E21" s="174"/>
      <c r="F21" s="124">
        <v>2191</v>
      </c>
      <c r="G21" s="174"/>
      <c r="H21" s="124">
        <v>73120</v>
      </c>
      <c r="I21" s="174"/>
      <c r="J21" s="124">
        <f t="shared" si="0"/>
        <v>75311</v>
      </c>
      <c r="K21" s="174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</row>
    <row r="22" spans="1:208" ht="17.850000000000001" customHeight="1" x14ac:dyDescent="0.35">
      <c r="A22" s="122" t="s">
        <v>19</v>
      </c>
      <c r="B22" s="124">
        <v>25</v>
      </c>
      <c r="C22" s="174"/>
      <c r="D22" s="124">
        <f>SUM(PAGE_7!J22,PAGE_7!L22,PAGE_7!N22,B22)</f>
        <v>10771</v>
      </c>
      <c r="E22" s="174"/>
      <c r="F22" s="124">
        <v>5605</v>
      </c>
      <c r="G22" s="174"/>
      <c r="H22" s="124">
        <v>94963</v>
      </c>
      <c r="I22" s="174"/>
      <c r="J22" s="124">
        <f t="shared" si="0"/>
        <v>100568</v>
      </c>
      <c r="K22" s="174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</row>
    <row r="23" spans="1:208" ht="17.850000000000001" customHeight="1" x14ac:dyDescent="0.35">
      <c r="A23" s="122" t="s">
        <v>20</v>
      </c>
      <c r="B23" s="124">
        <v>25</v>
      </c>
      <c r="C23" s="174"/>
      <c r="D23" s="124">
        <f>SUM(PAGE_7!J23,PAGE_7!L23,PAGE_7!N23,B23)</f>
        <v>7765</v>
      </c>
      <c r="E23" s="174"/>
      <c r="F23" s="124">
        <v>5744</v>
      </c>
      <c r="G23" s="174"/>
      <c r="H23" s="124">
        <v>75346</v>
      </c>
      <c r="I23" s="174"/>
      <c r="J23" s="124">
        <f t="shared" si="0"/>
        <v>81090</v>
      </c>
      <c r="K23" s="174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</row>
    <row r="24" spans="1:208" ht="17.850000000000001" customHeight="1" x14ac:dyDescent="0.35">
      <c r="A24" s="122" t="s">
        <v>21</v>
      </c>
      <c r="B24" s="124">
        <v>25</v>
      </c>
      <c r="C24" s="174"/>
      <c r="D24" s="124">
        <f>SUM(PAGE_7!J24,PAGE_7!L24,PAGE_7!N24,B24)</f>
        <v>13452</v>
      </c>
      <c r="E24" s="174"/>
      <c r="F24" s="124">
        <v>512</v>
      </c>
      <c r="G24" s="174"/>
      <c r="H24" s="124">
        <v>21280</v>
      </c>
      <c r="I24" s="174"/>
      <c r="J24" s="124">
        <f t="shared" si="0"/>
        <v>21792</v>
      </c>
      <c r="K24" s="174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</row>
    <row r="25" spans="1:208" ht="17.850000000000001" customHeight="1" x14ac:dyDescent="0.35">
      <c r="A25" s="122" t="s">
        <v>22</v>
      </c>
      <c r="B25" s="124">
        <v>25</v>
      </c>
      <c r="C25" s="174"/>
      <c r="D25" s="124">
        <f>SUM(PAGE_7!J25,PAGE_7!L25,PAGE_7!N25,B25)</f>
        <v>10104</v>
      </c>
      <c r="E25" s="174"/>
      <c r="F25" s="124">
        <v>5968</v>
      </c>
      <c r="G25" s="174"/>
      <c r="H25" s="124">
        <v>175102</v>
      </c>
      <c r="I25" s="174"/>
      <c r="J25" s="124">
        <f t="shared" si="0"/>
        <v>181070</v>
      </c>
      <c r="K25" s="174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</row>
    <row r="26" spans="1:208" ht="17.850000000000001" customHeight="1" x14ac:dyDescent="0.35">
      <c r="A26" s="122" t="s">
        <v>24</v>
      </c>
      <c r="B26" s="124">
        <v>25</v>
      </c>
      <c r="C26" s="174"/>
      <c r="D26" s="124">
        <f>SUM(PAGE_7!J26,PAGE_7!L26,PAGE_7!N26,B26)</f>
        <v>12552</v>
      </c>
      <c r="E26" s="174"/>
      <c r="F26" s="124">
        <v>4748</v>
      </c>
      <c r="G26" s="174"/>
      <c r="H26" s="124">
        <v>71519</v>
      </c>
      <c r="I26" s="174"/>
      <c r="J26" s="124">
        <f t="shared" si="0"/>
        <v>76267</v>
      </c>
      <c r="K26" s="174"/>
      <c r="L26" s="21"/>
      <c r="M26" s="5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</row>
    <row r="27" spans="1:208" ht="17.850000000000001" customHeight="1" x14ac:dyDescent="0.35">
      <c r="A27" s="122" t="s">
        <v>25</v>
      </c>
      <c r="B27" s="124">
        <v>25</v>
      </c>
      <c r="C27" s="174"/>
      <c r="D27" s="124">
        <f>SUM(PAGE_7!J27,PAGE_7!L27,PAGE_7!N27,B27)</f>
        <v>12453</v>
      </c>
      <c r="E27" s="174"/>
      <c r="F27" s="124">
        <v>6759</v>
      </c>
      <c r="G27" s="174"/>
      <c r="H27" s="124">
        <v>120457</v>
      </c>
      <c r="I27" s="174"/>
      <c r="J27" s="124">
        <f t="shared" si="0"/>
        <v>127216</v>
      </c>
      <c r="K27" s="174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</row>
    <row r="28" spans="1:208" ht="17.850000000000001" customHeight="1" x14ac:dyDescent="0.35">
      <c r="A28" s="122" t="s">
        <v>101</v>
      </c>
      <c r="B28" s="124">
        <v>25</v>
      </c>
      <c r="C28" s="174"/>
      <c r="D28" s="124">
        <f>SUM(PAGE_7!J28,PAGE_7!L28,PAGE_7!N28,B28)</f>
        <v>4358</v>
      </c>
      <c r="E28" s="174"/>
      <c r="F28" s="124">
        <v>2254</v>
      </c>
      <c r="G28" s="174"/>
      <c r="H28" s="124">
        <v>114303</v>
      </c>
      <c r="I28" s="174"/>
      <c r="J28" s="124">
        <f t="shared" si="0"/>
        <v>116557</v>
      </c>
      <c r="K28" s="174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</row>
    <row r="29" spans="1:208" ht="17.850000000000001" customHeight="1" x14ac:dyDescent="0.35">
      <c r="A29" s="122" t="s">
        <v>26</v>
      </c>
      <c r="B29" s="124">
        <v>25</v>
      </c>
      <c r="C29" s="174"/>
      <c r="D29" s="124">
        <f>SUM(PAGE_7!J29,PAGE_7!L29,PAGE_7!N29,B29)</f>
        <v>11782</v>
      </c>
      <c r="E29" s="174"/>
      <c r="F29" s="124">
        <v>3513</v>
      </c>
      <c r="G29" s="174"/>
      <c r="H29" s="124">
        <v>66275</v>
      </c>
      <c r="I29" s="174"/>
      <c r="J29" s="124">
        <f t="shared" si="0"/>
        <v>69788</v>
      </c>
      <c r="K29" s="174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</row>
    <row r="30" spans="1:208" ht="17.850000000000001" customHeight="1" x14ac:dyDescent="0.35">
      <c r="A30" s="122" t="s">
        <v>27</v>
      </c>
      <c r="B30" s="124">
        <v>25</v>
      </c>
      <c r="C30" s="174"/>
      <c r="D30" s="124">
        <f>SUM(PAGE_7!J30,PAGE_7!L30,PAGE_7!N30,B30)</f>
        <v>10915</v>
      </c>
      <c r="E30" s="174"/>
      <c r="F30" s="124">
        <v>5714</v>
      </c>
      <c r="G30" s="174"/>
      <c r="H30" s="124">
        <v>121838</v>
      </c>
      <c r="I30" s="174"/>
      <c r="J30" s="124">
        <f t="shared" si="0"/>
        <v>127552</v>
      </c>
      <c r="K30" s="174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</row>
    <row r="31" spans="1:208" ht="17.850000000000001" customHeight="1" x14ac:dyDescent="0.35">
      <c r="A31" s="122" t="s">
        <v>102</v>
      </c>
      <c r="B31" s="124">
        <v>25</v>
      </c>
      <c r="C31" s="174"/>
      <c r="D31" s="124">
        <f>SUM(PAGE_7!J31,PAGE_7!L31,PAGE_7!N31,B31)</f>
        <v>19819</v>
      </c>
      <c r="E31" s="174"/>
      <c r="F31" s="124">
        <v>6354</v>
      </c>
      <c r="G31" s="174"/>
      <c r="H31" s="124">
        <v>75658</v>
      </c>
      <c r="I31" s="174"/>
      <c r="J31" s="124">
        <f t="shared" si="0"/>
        <v>82012</v>
      </c>
      <c r="K31" s="174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</row>
    <row r="32" spans="1:208" ht="17.850000000000001" customHeight="1" x14ac:dyDescent="0.35">
      <c r="A32" s="122" t="s">
        <v>103</v>
      </c>
      <c r="B32" s="124">
        <v>25</v>
      </c>
      <c r="C32" s="174"/>
      <c r="D32" s="124">
        <f>SUM(PAGE_7!J32,PAGE_7!L32,PAGE_7!N32,B32)</f>
        <v>7426</v>
      </c>
      <c r="E32" s="174"/>
      <c r="F32" s="124">
        <v>3919</v>
      </c>
      <c r="G32" s="174"/>
      <c r="H32" s="124">
        <v>92220</v>
      </c>
      <c r="I32" s="174"/>
      <c r="J32" s="124">
        <f t="shared" si="0"/>
        <v>96139</v>
      </c>
      <c r="K32" s="174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</row>
    <row r="33" spans="1:208" ht="17.850000000000001" customHeight="1" x14ac:dyDescent="0.35">
      <c r="A33" s="122" t="s">
        <v>104</v>
      </c>
      <c r="B33" s="124">
        <v>25</v>
      </c>
      <c r="C33" s="174"/>
      <c r="D33" s="124">
        <f>SUM(PAGE_7!J33,PAGE_7!L33,PAGE_7!N33,B33)</f>
        <v>10769</v>
      </c>
      <c r="E33" s="174"/>
      <c r="F33" s="124">
        <v>5169</v>
      </c>
      <c r="G33" s="174"/>
      <c r="H33" s="124">
        <v>155156</v>
      </c>
      <c r="I33" s="174"/>
      <c r="J33" s="124">
        <f t="shared" si="0"/>
        <v>160325</v>
      </c>
      <c r="K33" s="174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</row>
    <row r="34" spans="1:208" ht="17.850000000000001" customHeight="1" x14ac:dyDescent="0.35">
      <c r="A34" s="122" t="s">
        <v>28</v>
      </c>
      <c r="B34" s="124">
        <v>25</v>
      </c>
      <c r="C34" s="174"/>
      <c r="D34" s="124">
        <f>SUM(PAGE_7!J34,PAGE_7!L34,PAGE_7!N34,B34)</f>
        <v>12493</v>
      </c>
      <c r="E34" s="174"/>
      <c r="F34" s="124">
        <v>3664</v>
      </c>
      <c r="G34" s="174"/>
      <c r="H34" s="124">
        <v>83570</v>
      </c>
      <c r="I34" s="174"/>
      <c r="J34" s="124">
        <f t="shared" si="0"/>
        <v>87234</v>
      </c>
      <c r="K34" s="174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</row>
    <row r="35" spans="1:208" ht="17.850000000000001" customHeight="1" x14ac:dyDescent="0.35">
      <c r="A35" s="122" t="s">
        <v>29</v>
      </c>
      <c r="B35" s="124">
        <v>25</v>
      </c>
      <c r="C35" s="174"/>
      <c r="D35" s="124">
        <f>SUM(PAGE_7!J35,PAGE_7!L35,PAGE_7!N35,B35)</f>
        <v>8849</v>
      </c>
      <c r="E35" s="174"/>
      <c r="F35" s="124">
        <v>2509</v>
      </c>
      <c r="G35" s="174"/>
      <c r="H35" s="124">
        <v>60445</v>
      </c>
      <c r="I35" s="174"/>
      <c r="J35" s="124">
        <f t="shared" si="0"/>
        <v>62954</v>
      </c>
      <c r="K35" s="174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</row>
    <row r="36" spans="1:208" ht="17.850000000000001" customHeight="1" x14ac:dyDescent="0.35">
      <c r="A36" s="122" t="s">
        <v>30</v>
      </c>
      <c r="B36" s="124">
        <v>25</v>
      </c>
      <c r="C36" s="174"/>
      <c r="D36" s="124">
        <f>SUM(PAGE_7!J36,PAGE_7!L36,PAGE_7!N36,B36)</f>
        <v>10646</v>
      </c>
      <c r="E36" s="174"/>
      <c r="F36" s="124">
        <v>2284</v>
      </c>
      <c r="G36" s="174"/>
      <c r="H36" s="124">
        <v>118137</v>
      </c>
      <c r="I36" s="174"/>
      <c r="J36" s="124">
        <f t="shared" si="0"/>
        <v>120421</v>
      </c>
      <c r="K36" s="174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</row>
    <row r="37" spans="1:208" ht="17.850000000000001" customHeight="1" x14ac:dyDescent="0.35">
      <c r="A37" s="122" t="s">
        <v>31</v>
      </c>
      <c r="B37" s="124">
        <v>25</v>
      </c>
      <c r="C37" s="174"/>
      <c r="D37" s="124">
        <f>SUM(PAGE_7!J37,PAGE_7!L37,PAGE_7!N37,B37)</f>
        <v>12860</v>
      </c>
      <c r="E37" s="174"/>
      <c r="F37" s="124">
        <v>10213</v>
      </c>
      <c r="G37" s="174"/>
      <c r="H37" s="124">
        <v>100384</v>
      </c>
      <c r="I37" s="174"/>
      <c r="J37" s="124">
        <f t="shared" si="0"/>
        <v>110597</v>
      </c>
      <c r="K37" s="174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</row>
    <row r="38" spans="1:208" ht="17.850000000000001" customHeight="1" x14ac:dyDescent="0.35">
      <c r="A38" s="122" t="s">
        <v>32</v>
      </c>
      <c r="B38" s="124">
        <v>25</v>
      </c>
      <c r="C38" s="174"/>
      <c r="D38" s="124">
        <f>SUM(PAGE_7!J38,PAGE_7!L38,PAGE_7!N38,B38)</f>
        <v>11734</v>
      </c>
      <c r="E38" s="174"/>
      <c r="F38" s="124">
        <v>2060</v>
      </c>
      <c r="G38" s="174"/>
      <c r="H38" s="124">
        <v>94639</v>
      </c>
      <c r="I38" s="174"/>
      <c r="J38" s="124">
        <f t="shared" si="0"/>
        <v>96699</v>
      </c>
      <c r="K38" s="174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</row>
    <row r="39" spans="1:208" ht="17.850000000000001" customHeight="1" x14ac:dyDescent="0.35">
      <c r="A39" s="122" t="s">
        <v>33</v>
      </c>
      <c r="B39" s="124">
        <v>25</v>
      </c>
      <c r="C39" s="174"/>
      <c r="D39" s="124">
        <f>SUM(PAGE_7!J39,PAGE_7!L39,PAGE_7!N39,B39)</f>
        <v>11886</v>
      </c>
      <c r="E39" s="174"/>
      <c r="F39" s="124">
        <v>5996</v>
      </c>
      <c r="G39" s="174"/>
      <c r="H39" s="124">
        <v>94927</v>
      </c>
      <c r="I39" s="174"/>
      <c r="J39" s="124">
        <f t="shared" ref="J39:J56" si="1">SUM(F39+H39)</f>
        <v>100923</v>
      </c>
      <c r="K39" s="174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</row>
    <row r="40" spans="1:208" ht="17.850000000000001" customHeight="1" x14ac:dyDescent="0.35">
      <c r="A40" s="122" t="s">
        <v>34</v>
      </c>
      <c r="B40" s="124">
        <v>0</v>
      </c>
      <c r="C40" s="174"/>
      <c r="D40" s="124">
        <f>SUM(PAGE_7!J40,PAGE_7!L40,PAGE_7!N40,B40)</f>
        <v>2252</v>
      </c>
      <c r="E40" s="174"/>
      <c r="F40" s="124">
        <v>2778</v>
      </c>
      <c r="G40" s="174"/>
      <c r="H40" s="124">
        <v>77878</v>
      </c>
      <c r="I40" s="174"/>
      <c r="J40" s="124">
        <f t="shared" si="1"/>
        <v>80656</v>
      </c>
      <c r="K40" s="174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</row>
    <row r="41" spans="1:208" ht="17.850000000000001" customHeight="1" x14ac:dyDescent="0.3">
      <c r="A41" s="131" t="s">
        <v>35</v>
      </c>
      <c r="B41" s="124">
        <v>0</v>
      </c>
      <c r="C41" s="124"/>
      <c r="D41" s="124">
        <f>SUM(PAGE_7!J41,PAGE_7!L41,PAGE_7!N41,B41)</f>
        <v>5607</v>
      </c>
      <c r="E41" s="124"/>
      <c r="F41" s="124">
        <v>732</v>
      </c>
      <c r="G41" s="124"/>
      <c r="H41" s="124">
        <v>35865</v>
      </c>
      <c r="I41" s="124"/>
      <c r="J41" s="124">
        <f t="shared" si="1"/>
        <v>36597</v>
      </c>
      <c r="K41" s="124"/>
      <c r="L41" s="14"/>
    </row>
    <row r="42" spans="1:208" ht="17.850000000000001" customHeight="1" x14ac:dyDescent="0.3">
      <c r="A42" s="122" t="s">
        <v>36</v>
      </c>
      <c r="B42" s="124">
        <v>25</v>
      </c>
      <c r="C42" s="124"/>
      <c r="D42" s="124">
        <f>SUM(PAGE_7!J42,PAGE_7!L42,PAGE_7!N42,B42)</f>
        <v>10207</v>
      </c>
      <c r="E42" s="124"/>
      <c r="F42" s="124">
        <v>1019</v>
      </c>
      <c r="G42" s="124"/>
      <c r="H42" s="124">
        <v>60053</v>
      </c>
      <c r="I42" s="124"/>
      <c r="J42" s="124">
        <f t="shared" si="1"/>
        <v>61072</v>
      </c>
      <c r="K42" s="124"/>
      <c r="L42" s="14"/>
    </row>
    <row r="43" spans="1:208" ht="17.850000000000001" customHeight="1" x14ac:dyDescent="0.3">
      <c r="A43" s="122" t="s">
        <v>37</v>
      </c>
      <c r="B43" s="124">
        <v>25</v>
      </c>
      <c r="C43" s="124"/>
      <c r="D43" s="124">
        <f>SUM(PAGE_7!J43,PAGE_7!L43,PAGE_7!N43,B43)</f>
        <v>8329</v>
      </c>
      <c r="E43" s="124"/>
      <c r="F43" s="124">
        <v>13100</v>
      </c>
      <c r="G43" s="124"/>
      <c r="H43" s="124">
        <v>123674</v>
      </c>
      <c r="I43" s="124"/>
      <c r="J43" s="124">
        <f t="shared" si="1"/>
        <v>136774</v>
      </c>
      <c r="K43" s="128"/>
      <c r="L43" s="14"/>
    </row>
    <row r="44" spans="1:208" ht="17.850000000000001" customHeight="1" x14ac:dyDescent="0.3">
      <c r="A44" s="122" t="s">
        <v>38</v>
      </c>
      <c r="B44" s="124">
        <v>25</v>
      </c>
      <c r="C44" s="124"/>
      <c r="D44" s="124">
        <f>SUM(PAGE_7!J44,PAGE_7!L44,PAGE_7!N44,B44)</f>
        <v>11639</v>
      </c>
      <c r="E44" s="124"/>
      <c r="F44" s="124">
        <v>2321</v>
      </c>
      <c r="G44" s="124"/>
      <c r="H44" s="124">
        <v>109420</v>
      </c>
      <c r="I44" s="124"/>
      <c r="J44" s="124">
        <f t="shared" si="1"/>
        <v>111741</v>
      </c>
      <c r="K44" s="128"/>
      <c r="L44" s="14"/>
    </row>
    <row r="45" spans="1:208" ht="17.850000000000001" customHeight="1" x14ac:dyDescent="0.3">
      <c r="A45" s="122" t="s">
        <v>39</v>
      </c>
      <c r="B45" s="124">
        <v>25</v>
      </c>
      <c r="C45" s="124"/>
      <c r="D45" s="124">
        <f>SUM(PAGE_7!J45,PAGE_7!L45,PAGE_7!N45,B45)</f>
        <v>12082</v>
      </c>
      <c r="E45" s="124"/>
      <c r="F45" s="124">
        <v>12117</v>
      </c>
      <c r="G45" s="124"/>
      <c r="H45" s="124">
        <v>93216</v>
      </c>
      <c r="I45" s="124"/>
      <c r="J45" s="124">
        <f t="shared" si="1"/>
        <v>105333</v>
      </c>
      <c r="K45" s="124"/>
      <c r="L45" s="14"/>
    </row>
    <row r="46" spans="1:208" ht="17.850000000000001" customHeight="1" x14ac:dyDescent="0.3">
      <c r="A46" s="122" t="s">
        <v>40</v>
      </c>
      <c r="B46" s="124">
        <v>25</v>
      </c>
      <c r="C46" s="124"/>
      <c r="D46" s="124">
        <f>SUM(PAGE_7!J46,PAGE_7!L46,PAGE_7!N46,B46)</f>
        <v>9193</v>
      </c>
      <c r="E46" s="124"/>
      <c r="F46" s="124">
        <v>5775</v>
      </c>
      <c r="G46" s="124"/>
      <c r="H46" s="124">
        <v>73420</v>
      </c>
      <c r="I46" s="124"/>
      <c r="J46" s="124">
        <f t="shared" si="1"/>
        <v>79195</v>
      </c>
      <c r="K46" s="124"/>
      <c r="L46" s="14"/>
    </row>
    <row r="47" spans="1:208" ht="17.850000000000001" customHeight="1" x14ac:dyDescent="0.3">
      <c r="A47" s="122" t="s">
        <v>41</v>
      </c>
      <c r="B47" s="124">
        <f>[2]ActualDeliveries!F$94</f>
        <v>19</v>
      </c>
      <c r="C47" s="124"/>
      <c r="D47" s="124">
        <f>SUM(PAGE_7!J47,PAGE_7!L47,PAGE_7!N47,B47)</f>
        <v>3739</v>
      </c>
      <c r="E47" s="124"/>
      <c r="F47" s="124">
        <f>[2]ActualDeliveries!F$99</f>
        <v>1407</v>
      </c>
      <c r="G47" s="124"/>
      <c r="H47" s="124">
        <f>[2]ActualDeliveries!F$100</f>
        <v>73991</v>
      </c>
      <c r="I47" s="124"/>
      <c r="J47" s="124">
        <f t="shared" si="1"/>
        <v>75398</v>
      </c>
      <c r="K47" s="124"/>
      <c r="L47" s="14"/>
    </row>
    <row r="48" spans="1:208" ht="17.850000000000001" customHeight="1" x14ac:dyDescent="0.3">
      <c r="A48" s="122" t="s">
        <v>42</v>
      </c>
      <c r="B48" s="124">
        <f t="shared" ref="B48:B56" si="2">B$58</f>
        <v>20.571428571428573</v>
      </c>
      <c r="C48" s="124"/>
      <c r="D48" s="124">
        <f>SUM(PAGE_7!J48,PAGE_7!L48,PAGE_7!N48,B48)</f>
        <v>8685.1428571428587</v>
      </c>
      <c r="E48" s="124"/>
      <c r="F48" s="124">
        <f t="shared" ref="F48:F56" si="3">F$58</f>
        <v>5210.1428571428569</v>
      </c>
      <c r="G48" s="124"/>
      <c r="H48" s="124">
        <f t="shared" ref="H48:H56" si="4">H$58</f>
        <v>81377</v>
      </c>
      <c r="I48" s="124"/>
      <c r="J48" s="124">
        <f t="shared" si="1"/>
        <v>86587.142857142855</v>
      </c>
      <c r="K48" s="124"/>
      <c r="L48" s="14"/>
    </row>
    <row r="49" spans="1:12" ht="17.850000000000001" customHeight="1" x14ac:dyDescent="0.3">
      <c r="A49" s="122" t="s">
        <v>43</v>
      </c>
      <c r="B49" s="124">
        <f t="shared" si="2"/>
        <v>20.571428571428573</v>
      </c>
      <c r="C49" s="124">
        <f>ROUND(B49*[2]Manual_Input!K55,6)</f>
        <v>20.094100999999998</v>
      </c>
      <c r="D49" s="124">
        <f>SUM(PAGE_7!J49,PAGE_7!L49,PAGE_7!N49,B49)</f>
        <v>8685.1428571428587</v>
      </c>
      <c r="E49" s="124">
        <f>SUM(PAGE_7!K49,PAGE_7!M49,PAGE_7!O49,C49)</f>
        <v>8483.6178400000008</v>
      </c>
      <c r="F49" s="124">
        <f t="shared" si="3"/>
        <v>5210.1428571428569</v>
      </c>
      <c r="G49" s="124">
        <f>ROUND(F49*[2]Manual_Input!K55,6)</f>
        <v>5089.2497240000002</v>
      </c>
      <c r="H49" s="124">
        <f t="shared" si="4"/>
        <v>81377</v>
      </c>
      <c r="I49" s="124">
        <f>ROUND(H49*[2]Manual_Input!K55,6)</f>
        <v>79488.775294000006</v>
      </c>
      <c r="J49" s="124">
        <f t="shared" si="1"/>
        <v>86587.142857142855</v>
      </c>
      <c r="K49" s="124">
        <f t="shared" ref="K49:K56" si="5">SUM(G49,I49)</f>
        <v>84578.025018</v>
      </c>
      <c r="L49" s="14"/>
    </row>
    <row r="50" spans="1:12" ht="17.850000000000001" customHeight="1" x14ac:dyDescent="0.3">
      <c r="A50" s="122" t="s">
        <v>44</v>
      </c>
      <c r="B50" s="124">
        <f t="shared" si="2"/>
        <v>20.571428571428573</v>
      </c>
      <c r="C50" s="124">
        <f>ROUND(B50*[2]Manual_Input!K56,6)</f>
        <v>19.627849000000001</v>
      </c>
      <c r="D50" s="124">
        <f>SUM(PAGE_7!J50,PAGE_7!L50,PAGE_7!N50,B50)</f>
        <v>8685.1428571428587</v>
      </c>
      <c r="E50" s="124">
        <f>SUM(PAGE_7!K50,PAGE_7!M50,PAGE_7!O50,C50)</f>
        <v>8286.7688920000001</v>
      </c>
      <c r="F50" s="124">
        <f t="shared" si="3"/>
        <v>5210.1428571428569</v>
      </c>
      <c r="G50" s="124">
        <f>ROUND(F50*[2]Manual_Input!K56,6)</f>
        <v>4971.1617260000003</v>
      </c>
      <c r="H50" s="124">
        <f t="shared" si="4"/>
        <v>81377</v>
      </c>
      <c r="I50" s="124">
        <f>ROUND(H50*[2]Manual_Input!K56,6)</f>
        <v>77644.363857999997</v>
      </c>
      <c r="J50" s="124">
        <f t="shared" si="1"/>
        <v>86587.142857142855</v>
      </c>
      <c r="K50" s="124">
        <f t="shared" si="5"/>
        <v>82615.525584000003</v>
      </c>
      <c r="L50" s="14"/>
    </row>
    <row r="51" spans="1:12" ht="17.850000000000001" customHeight="1" x14ac:dyDescent="0.3">
      <c r="A51" s="122" t="s">
        <v>45</v>
      </c>
      <c r="B51" s="124">
        <f t="shared" si="2"/>
        <v>20.571428571428573</v>
      </c>
      <c r="C51" s="124">
        <f>ROUND(B51*[2]Manual_Input!K57,6)</f>
        <v>19.172415999999998</v>
      </c>
      <c r="D51" s="124">
        <f>SUM(PAGE_7!J51,PAGE_7!L51,PAGE_7!N51,B51)</f>
        <v>8685.1428571428587</v>
      </c>
      <c r="E51" s="124">
        <f>SUM(PAGE_7!K51,PAGE_7!M51,PAGE_7!O51,C51)</f>
        <v>8094.4875140000004</v>
      </c>
      <c r="F51" s="124">
        <f t="shared" si="3"/>
        <v>5210.1428571428569</v>
      </c>
      <c r="G51" s="124">
        <f>ROUND(F51*[2]Manual_Input!K57,6)</f>
        <v>4855.8137729999999</v>
      </c>
      <c r="H51" s="124">
        <f t="shared" si="4"/>
        <v>81377</v>
      </c>
      <c r="I51" s="124">
        <f>ROUND(H51*[2]Manual_Input!K57,6)</f>
        <v>75842.749075999993</v>
      </c>
      <c r="J51" s="124">
        <f t="shared" si="1"/>
        <v>86587.142857142855</v>
      </c>
      <c r="K51" s="124">
        <f t="shared" si="5"/>
        <v>80698.562848999994</v>
      </c>
      <c r="L51" s="14"/>
    </row>
    <row r="52" spans="1:12" ht="17.850000000000001" customHeight="1" x14ac:dyDescent="0.3">
      <c r="A52" s="122" t="s">
        <v>46</v>
      </c>
      <c r="B52" s="124">
        <f t="shared" si="2"/>
        <v>20.571428571428573</v>
      </c>
      <c r="C52" s="124">
        <f>ROUND(B52*[2]Manual_Input!K58,6)</f>
        <v>18.727550000000001</v>
      </c>
      <c r="D52" s="124">
        <f>SUM(PAGE_7!J52,PAGE_7!L52,PAGE_7!N52,B52)</f>
        <v>8685.1428571428587</v>
      </c>
      <c r="E52" s="124">
        <f>SUM(PAGE_7!K52,PAGE_7!M52,PAGE_7!O52,C52)</f>
        <v>7906.6677199999995</v>
      </c>
      <c r="F52" s="124">
        <f t="shared" si="3"/>
        <v>5210.1428571428569</v>
      </c>
      <c r="G52" s="124">
        <f>ROUND(F52*[2]Manual_Input!K58,6)</f>
        <v>4743.1422860000002</v>
      </c>
      <c r="H52" s="124">
        <f t="shared" si="4"/>
        <v>81377</v>
      </c>
      <c r="I52" s="124">
        <f>ROUND(H52*[2]Manual_Input!K58,6)</f>
        <v>74082.937917999996</v>
      </c>
      <c r="J52" s="124">
        <f t="shared" si="1"/>
        <v>86587.142857142855</v>
      </c>
      <c r="K52" s="124">
        <f t="shared" si="5"/>
        <v>78826.080203999998</v>
      </c>
      <c r="L52" s="14"/>
    </row>
    <row r="53" spans="1:12" ht="17.850000000000001" customHeight="1" x14ac:dyDescent="0.3">
      <c r="A53" s="122" t="s">
        <v>47</v>
      </c>
      <c r="B53" s="124">
        <f t="shared" si="2"/>
        <v>20.571428571428573</v>
      </c>
      <c r="C53" s="124">
        <f>ROUND(B53*[2]Manual_Input!K59,6)</f>
        <v>18.293006999999999</v>
      </c>
      <c r="D53" s="124">
        <f>SUM(PAGE_7!J53,PAGE_7!L53,PAGE_7!N53,B53)</f>
        <v>8685.1428571428587</v>
      </c>
      <c r="E53" s="124">
        <f>SUM(PAGE_7!K53,PAGE_7!M53,PAGE_7!O53,C53)</f>
        <v>7723.2059880000006</v>
      </c>
      <c r="F53" s="124">
        <f t="shared" si="3"/>
        <v>5210.1428571428569</v>
      </c>
      <c r="G53" s="124">
        <f>ROUND(F53*[2]Manual_Input!K59,6)</f>
        <v>4633.0851640000001</v>
      </c>
      <c r="H53" s="124">
        <f t="shared" si="4"/>
        <v>81377</v>
      </c>
      <c r="I53" s="124">
        <f>ROUND(H53*[2]Manual_Input!K59,6)</f>
        <v>72363.960397999996</v>
      </c>
      <c r="J53" s="124">
        <f t="shared" si="1"/>
        <v>86587.142857142855</v>
      </c>
      <c r="K53" s="124">
        <f t="shared" si="5"/>
        <v>76997.045561999999</v>
      </c>
      <c r="L53" s="14"/>
    </row>
    <row r="54" spans="1:12" ht="17.850000000000001" customHeight="1" x14ac:dyDescent="0.3">
      <c r="A54" s="122" t="s">
        <v>48</v>
      </c>
      <c r="B54" s="124">
        <f t="shared" si="2"/>
        <v>20.571428571428573</v>
      </c>
      <c r="C54" s="124">
        <f>ROUND(B54*[2]Manual_Input!K60,6)</f>
        <v>17.868547</v>
      </c>
      <c r="D54" s="124">
        <f>SUM(PAGE_7!J54,PAGE_7!L54,PAGE_7!N54,B54)</f>
        <v>8685.1428571428587</v>
      </c>
      <c r="E54" s="124">
        <f>SUM(PAGE_7!K54,PAGE_7!M54,PAGE_7!O54,C54)</f>
        <v>7544.0011979999999</v>
      </c>
      <c r="F54" s="124">
        <f t="shared" si="3"/>
        <v>5210.1428571428569</v>
      </c>
      <c r="G54" s="124">
        <f>ROUND(F54*[2]Manual_Input!K60,6)</f>
        <v>4525.5817429999997</v>
      </c>
      <c r="H54" s="124">
        <f t="shared" si="4"/>
        <v>81377</v>
      </c>
      <c r="I54" s="124">
        <f>ROUND(H54*[2]Manual_Input!K60,6)</f>
        <v>70684.869034999996</v>
      </c>
      <c r="J54" s="124">
        <f t="shared" si="1"/>
        <v>86587.142857142855</v>
      </c>
      <c r="K54" s="124">
        <f t="shared" si="5"/>
        <v>75210.450777999999</v>
      </c>
      <c r="L54" s="14"/>
    </row>
    <row r="55" spans="1:12" ht="17.850000000000001" customHeight="1" x14ac:dyDescent="0.3">
      <c r="A55" s="122" t="s">
        <v>49</v>
      </c>
      <c r="B55" s="124">
        <f t="shared" si="2"/>
        <v>20.571428571428573</v>
      </c>
      <c r="C55" s="124">
        <f>ROUND(B55*[2]Manual_Input!K61,6)</f>
        <v>17.453935000000001</v>
      </c>
      <c r="D55" s="124">
        <f>SUM(PAGE_7!J55,PAGE_7!L55,PAGE_7!N55,B55)</f>
        <v>8685.1428571428587</v>
      </c>
      <c r="E55" s="124">
        <f>SUM(PAGE_7!K55,PAGE_7!M55,PAGE_7!O55,C55)</f>
        <v>7368.9545679999992</v>
      </c>
      <c r="F55" s="124">
        <f t="shared" si="3"/>
        <v>5210.1428571428569</v>
      </c>
      <c r="G55" s="124">
        <f>ROUND(F55*[2]Manual_Input!K61,6)</f>
        <v>4420.5727690000003</v>
      </c>
      <c r="H55" s="124">
        <f t="shared" si="4"/>
        <v>81377</v>
      </c>
      <c r="I55" s="124">
        <f>ROUND(H55*[2]Manual_Input!K61,6)</f>
        <v>69044.738333999994</v>
      </c>
      <c r="J55" s="124">
        <f t="shared" si="1"/>
        <v>86587.142857142855</v>
      </c>
      <c r="K55" s="124">
        <f t="shared" si="5"/>
        <v>73465.311103</v>
      </c>
      <c r="L55" s="14"/>
    </row>
    <row r="56" spans="1:12" ht="17.850000000000001" customHeight="1" thickBot="1" x14ac:dyDescent="0.35">
      <c r="A56" s="122" t="s">
        <v>50</v>
      </c>
      <c r="B56" s="124">
        <f t="shared" si="2"/>
        <v>20.571428571428573</v>
      </c>
      <c r="C56" s="124">
        <f>ROUND(B56*[2]Manual_Input!K62,6)</f>
        <v>17.048943999999999</v>
      </c>
      <c r="D56" s="124">
        <f>SUM(PAGE_7!J56,PAGE_7!L56,PAGE_7!N56,B56)</f>
        <v>8685.1428571428587</v>
      </c>
      <c r="E56" s="124">
        <f>SUM(PAGE_7!K56,PAGE_7!M56,PAGE_7!O56,C56)</f>
        <v>7197.9696219999996</v>
      </c>
      <c r="F56" s="124">
        <f t="shared" si="3"/>
        <v>5210.1428571428569</v>
      </c>
      <c r="G56" s="124">
        <f>ROUND(F56*[2]Manual_Input!K62,6)</f>
        <v>4318.0003630000001</v>
      </c>
      <c r="H56" s="124">
        <f t="shared" si="4"/>
        <v>81377</v>
      </c>
      <c r="I56" s="124">
        <f>ROUND(H56*[2]Manual_Input!K62,6)</f>
        <v>67442.664273999995</v>
      </c>
      <c r="J56" s="124">
        <f t="shared" si="1"/>
        <v>86587.142857142855</v>
      </c>
      <c r="K56" s="124">
        <f t="shared" si="5"/>
        <v>71760.664636999994</v>
      </c>
      <c r="L56" s="14"/>
    </row>
    <row r="57" spans="1:12" ht="17.850000000000001" customHeight="1" x14ac:dyDescent="0.3">
      <c r="A57" s="122" t="s">
        <v>51</v>
      </c>
      <c r="B57" s="133">
        <f t="shared" ref="B57:I57" si="6">SUM(B7:B56)</f>
        <v>1243.142857142858</v>
      </c>
      <c r="C57" s="133">
        <f t="shared" si="6"/>
        <v>148.286349</v>
      </c>
      <c r="D57" s="133">
        <f t="shared" si="6"/>
        <v>437007.28571428556</v>
      </c>
      <c r="E57" s="133">
        <f t="shared" si="6"/>
        <v>62605.673341999995</v>
      </c>
      <c r="F57" s="133">
        <f t="shared" si="6"/>
        <v>175965.28571428583</v>
      </c>
      <c r="G57" s="133">
        <f t="shared" si="6"/>
        <v>37556.607548</v>
      </c>
      <c r="H57" s="133">
        <f t="shared" si="6"/>
        <v>3701244</v>
      </c>
      <c r="I57" s="133">
        <f t="shared" si="6"/>
        <v>586595.05818699999</v>
      </c>
      <c r="J57" s="133">
        <f>SUM(J7:J56)</f>
        <v>3877209.2857142845</v>
      </c>
      <c r="K57" s="133">
        <f>SUM(K7:K56)</f>
        <v>624151.66573499993</v>
      </c>
      <c r="L57" s="8"/>
    </row>
    <row r="58" spans="1:12" ht="17.850000000000001" customHeight="1" x14ac:dyDescent="0.3">
      <c r="A58" s="122" t="s">
        <v>72</v>
      </c>
      <c r="B58" s="124">
        <f>AVERAGE(B41:B47)</f>
        <v>20.571428571428573</v>
      </c>
      <c r="C58" s="124"/>
      <c r="D58" s="124">
        <f>AVERAGE(D41:D47)</f>
        <v>8685.1428571428569</v>
      </c>
      <c r="E58" s="124"/>
      <c r="F58" s="124">
        <f>AVERAGE(F41:F47)</f>
        <v>5210.1428571428569</v>
      </c>
      <c r="G58" s="124"/>
      <c r="H58" s="124">
        <f>AVERAGE(H41:H47)</f>
        <v>81377</v>
      </c>
      <c r="I58" s="124"/>
      <c r="J58" s="124">
        <f>SUM(F58+H58)</f>
        <v>86587.142857142855</v>
      </c>
      <c r="K58" s="124"/>
      <c r="L58" s="14"/>
    </row>
    <row r="59" spans="1:12" ht="17.850000000000001" customHeight="1" x14ac:dyDescent="0.3">
      <c r="A59" s="122" t="s">
        <v>53</v>
      </c>
      <c r="B59" s="125">
        <f>+SUM(B49:B56)</f>
        <v>164.57142857142858</v>
      </c>
      <c r="C59" s="125">
        <f t="shared" ref="C59:K59" si="7">+SUM(C49:C56)</f>
        <v>148.286349</v>
      </c>
      <c r="D59" s="125">
        <f t="shared" si="7"/>
        <v>69481.142857142855</v>
      </c>
      <c r="E59" s="125">
        <f t="shared" si="7"/>
        <v>62605.673341999995</v>
      </c>
      <c r="F59" s="125">
        <f t="shared" si="7"/>
        <v>41681.142857142848</v>
      </c>
      <c r="G59" s="125">
        <f t="shared" si="7"/>
        <v>37556.607548</v>
      </c>
      <c r="H59" s="125">
        <f t="shared" si="7"/>
        <v>651016</v>
      </c>
      <c r="I59" s="125">
        <f t="shared" si="7"/>
        <v>586595.05818699999</v>
      </c>
      <c r="J59" s="125">
        <f t="shared" si="7"/>
        <v>692697.14285714284</v>
      </c>
      <c r="K59" s="125">
        <f t="shared" si="7"/>
        <v>624151.66573499993</v>
      </c>
      <c r="L59" s="14"/>
    </row>
    <row r="60" spans="1:12" x14ac:dyDescent="0.2">
      <c r="A60" s="17"/>
      <c r="B60" s="9"/>
      <c r="C60" s="9"/>
      <c r="D60" s="9"/>
      <c r="E60" s="9"/>
      <c r="F60" s="14"/>
      <c r="G60" s="14"/>
      <c r="H60" s="14"/>
      <c r="I60" s="14"/>
      <c r="J60" s="14"/>
      <c r="K60" s="14"/>
      <c r="L60" s="14"/>
    </row>
    <row r="61" spans="1:12" x14ac:dyDescent="0.2">
      <c r="A61" s="17"/>
      <c r="B61" s="9"/>
      <c r="C61" s="9"/>
      <c r="D61" s="9"/>
      <c r="E61" s="9"/>
      <c r="F61" s="14"/>
      <c r="G61" s="14"/>
      <c r="H61" s="14"/>
      <c r="I61" s="14"/>
      <c r="J61" s="14"/>
      <c r="K61" s="14"/>
      <c r="L61" s="14"/>
    </row>
    <row r="62" spans="1:12" x14ac:dyDescent="0.2">
      <c r="A62" s="1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x14ac:dyDescent="0.2">
      <c r="A63" s="17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x14ac:dyDescent="0.2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x14ac:dyDescent="0.2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x14ac:dyDescent="0.2">
      <c r="A66" s="17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x14ac:dyDescent="0.2">
      <c r="A67" s="17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x14ac:dyDescent="0.2">
      <c r="A68" s="1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x14ac:dyDescent="0.2">
      <c r="A69" s="1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x14ac:dyDescent="0.2">
      <c r="A71" s="1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x14ac:dyDescent="0.2">
      <c r="A72" s="1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x14ac:dyDescent="0.2">
      <c r="A73" s="1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x14ac:dyDescent="0.2">
      <c r="A74" s="17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x14ac:dyDescent="0.2">
      <c r="A75" s="1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">
      <c r="A76" s="1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">
      <c r="A77" s="17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">
      <c r="A78" s="17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x14ac:dyDescent="0.2">
      <c r="A79" s="17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x14ac:dyDescent="0.2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x14ac:dyDescent="0.2">
      <c r="A81" s="17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</sheetData>
  <printOptions horizontalCentered="1"/>
  <pageMargins left="0" right="0" top="0" bottom="0" header="0.25" footer="0.25"/>
  <pageSetup scale="43" orientation="landscape" r:id="rId1"/>
  <headerFooter>
    <oddFooter>&amp;RSchedule A-13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568E-4188-4F8E-8685-C7EC7334817F}">
  <dimension ref="A1:AM65"/>
  <sheetViews>
    <sheetView view="pageBreakPreview" zoomScaleNormal="70" zoomScaleSheetLayoutView="100" workbookViewId="0">
      <selection activeCell="M7" sqref="M7"/>
    </sheetView>
  </sheetViews>
  <sheetFormatPr defaultRowHeight="15" x14ac:dyDescent="0.2"/>
  <cols>
    <col min="1" max="1" width="25.77734375" style="59" customWidth="1"/>
    <col min="2" max="2" width="13.77734375" customWidth="1"/>
    <col min="3" max="3" width="13.88671875" customWidth="1"/>
    <col min="4" max="4" width="14.88671875" customWidth="1"/>
    <col min="5" max="5" width="15.6640625" customWidth="1"/>
    <col min="6" max="6" width="14.33203125" customWidth="1"/>
    <col min="7" max="7" width="13.88671875" customWidth="1"/>
    <col min="8" max="8" width="14.33203125" customWidth="1"/>
    <col min="9" max="9" width="14.5546875" customWidth="1"/>
    <col min="10" max="10" width="4.21875" hidden="1" customWidth="1"/>
    <col min="11" max="11" width="15.77734375" customWidth="1"/>
    <col min="12" max="12" width="15.44140625" customWidth="1"/>
    <col min="13" max="13" width="15.6640625" customWidth="1"/>
    <col min="14" max="14" width="15.44140625" customWidth="1"/>
    <col min="15" max="15" width="3.21875" customWidth="1"/>
    <col min="16" max="16" width="5.77734375" hidden="1" customWidth="1"/>
  </cols>
  <sheetData>
    <row r="1" spans="1:39" s="1" customFormat="1" ht="17.45" customHeight="1" x14ac:dyDescent="0.35">
      <c r="A1" s="146" t="str">
        <f>[2]INFORMATION!A1</f>
        <v>M&amp;I 2023 Sch A-13 F.Z25.XLSM</v>
      </c>
      <c r="B1" s="152"/>
      <c r="C1" s="152"/>
      <c r="D1" s="152"/>
      <c r="E1" s="152"/>
      <c r="F1" s="152"/>
      <c r="G1" s="152"/>
      <c r="H1" s="152"/>
      <c r="I1" s="118"/>
      <c r="J1" s="118"/>
      <c r="K1" s="118"/>
      <c r="L1" s="118"/>
      <c r="M1" s="118"/>
      <c r="N1" s="118"/>
      <c r="O1" s="3"/>
      <c r="P1" s="5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L1" s="22"/>
      <c r="AM1" s="22"/>
    </row>
    <row r="2" spans="1:39" s="1" customFormat="1" ht="20.25" x14ac:dyDescent="0.35">
      <c r="A2" s="119" t="str">
        <f>[2]INFORMATION!A2</f>
        <v>09/13/2022</v>
      </c>
      <c r="B2" s="152"/>
      <c r="C2" s="152"/>
      <c r="D2" s="152"/>
      <c r="E2" s="152"/>
      <c r="F2" s="152"/>
      <c r="G2" s="152"/>
      <c r="H2" s="152"/>
      <c r="I2" s="118"/>
      <c r="J2" s="118"/>
      <c r="K2" s="118"/>
      <c r="L2" s="118"/>
      <c r="M2" s="118"/>
      <c r="N2" s="116"/>
      <c r="O2" s="3"/>
      <c r="P2" s="5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L2" s="22"/>
      <c r="AM2" s="22"/>
    </row>
    <row r="3" spans="1:39" s="1" customFormat="1" ht="40.5" x14ac:dyDescent="0.35">
      <c r="A3" s="209" t="str">
        <f>PAGE_1!A3</f>
        <v>CENTRAL VALLEY PROJECT</v>
      </c>
      <c r="B3" s="116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2"/>
      <c r="AL3" s="22"/>
      <c r="AM3" s="22"/>
    </row>
    <row r="4" spans="1:39" s="1" customFormat="1" ht="101.25" x14ac:dyDescent="0.35">
      <c r="A4" s="209" t="str">
        <f>PAGE_1!A4</f>
        <v>SCHEDULE OF HISTORICAL (1981-2021) &amp; PROJECTED (2022-2030) M&amp;I WATER DELIVERIES</v>
      </c>
      <c r="B4" s="116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2"/>
      <c r="AL4" s="22"/>
      <c r="AM4" s="22"/>
    </row>
    <row r="5" spans="1:39" s="1" customFormat="1" ht="141.75" x14ac:dyDescent="0.35">
      <c r="A5" s="210" t="str">
        <f>+PAGE_1!A5</f>
        <v xml:space="preserve">AND PRESENT WORTH @ .023755 FOR CALCULATION OF INDIVIDUAL CONTRACTOR PRORATED CONSTRUCTION COSTS AND RATE   </v>
      </c>
      <c r="B5" s="178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1:39" s="11" customFormat="1" ht="34.5" x14ac:dyDescent="0.3">
      <c r="A6" s="212" t="s">
        <v>117</v>
      </c>
      <c r="B6" s="192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4"/>
    </row>
    <row r="7" spans="1:39" s="25" customFormat="1" ht="69" x14ac:dyDescent="0.3">
      <c r="A7" s="215" t="s">
        <v>0</v>
      </c>
      <c r="B7" s="168" t="s">
        <v>118</v>
      </c>
      <c r="C7" s="169" t="s">
        <v>119</v>
      </c>
      <c r="D7" s="169" t="s">
        <v>120</v>
      </c>
      <c r="E7" s="170" t="s">
        <v>121</v>
      </c>
      <c r="F7" s="169" t="s">
        <v>122</v>
      </c>
      <c r="G7" s="169" t="s">
        <v>123</v>
      </c>
      <c r="H7" s="169" t="s">
        <v>124</v>
      </c>
      <c r="I7" s="169" t="s">
        <v>125</v>
      </c>
      <c r="J7" s="170" t="s">
        <v>186</v>
      </c>
      <c r="K7" s="169" t="s">
        <v>126</v>
      </c>
      <c r="L7" s="169" t="s">
        <v>127</v>
      </c>
      <c r="M7" s="169" t="s">
        <v>290</v>
      </c>
      <c r="N7" s="216" t="s">
        <v>289</v>
      </c>
    </row>
    <row r="8" spans="1:39" ht="17.649999999999999" customHeight="1" x14ac:dyDescent="0.35">
      <c r="A8" s="122" t="s">
        <v>4</v>
      </c>
      <c r="B8" s="124">
        <v>951</v>
      </c>
      <c r="C8" s="174"/>
      <c r="D8" s="124">
        <v>5633</v>
      </c>
      <c r="E8" s="174"/>
      <c r="F8" s="124">
        <v>672</v>
      </c>
      <c r="G8" s="174"/>
      <c r="H8" s="124">
        <v>10</v>
      </c>
      <c r="I8" s="174"/>
      <c r="J8" s="152"/>
      <c r="K8" s="124">
        <f>4909+56</f>
        <v>4965</v>
      </c>
      <c r="L8" s="174"/>
      <c r="M8" s="124">
        <f t="shared" ref="M8:N50" si="0">B8+D8+F8+H8+K8</f>
        <v>12231</v>
      </c>
      <c r="N8" s="174"/>
    </row>
    <row r="9" spans="1:39" ht="17.649999999999999" customHeight="1" x14ac:dyDescent="0.35">
      <c r="A9" s="122" t="s">
        <v>5</v>
      </c>
      <c r="B9" s="124">
        <v>817</v>
      </c>
      <c r="C9" s="174"/>
      <c r="D9" s="124">
        <v>4728</v>
      </c>
      <c r="E9" s="174"/>
      <c r="F9" s="124">
        <v>661</v>
      </c>
      <c r="G9" s="174"/>
      <c r="H9" s="124">
        <v>10</v>
      </c>
      <c r="I9" s="174"/>
      <c r="J9" s="152"/>
      <c r="K9" s="124">
        <f>4625+24</f>
        <v>4649</v>
      </c>
      <c r="L9" s="174"/>
      <c r="M9" s="124">
        <f t="shared" si="0"/>
        <v>10865</v>
      </c>
      <c r="N9" s="174"/>
    </row>
    <row r="10" spans="1:39" ht="17.649999999999999" customHeight="1" x14ac:dyDescent="0.35">
      <c r="A10" s="122" t="s">
        <v>6</v>
      </c>
      <c r="B10" s="124">
        <v>670</v>
      </c>
      <c r="C10" s="174"/>
      <c r="D10" s="124">
        <v>5286</v>
      </c>
      <c r="E10" s="174"/>
      <c r="F10" s="124">
        <v>729</v>
      </c>
      <c r="G10" s="174"/>
      <c r="H10" s="124">
        <v>10</v>
      </c>
      <c r="I10" s="174"/>
      <c r="J10" s="152"/>
      <c r="K10" s="124">
        <f>4406+21</f>
        <v>4427</v>
      </c>
      <c r="L10" s="174"/>
      <c r="M10" s="124">
        <f t="shared" si="0"/>
        <v>11122</v>
      </c>
      <c r="N10" s="174"/>
    </row>
    <row r="11" spans="1:39" ht="17.649999999999999" customHeight="1" x14ac:dyDescent="0.35">
      <c r="A11" s="122" t="s">
        <v>7</v>
      </c>
      <c r="B11" s="124">
        <v>1057</v>
      </c>
      <c r="C11" s="174"/>
      <c r="D11" s="124">
        <v>5121</v>
      </c>
      <c r="E11" s="174"/>
      <c r="F11" s="124">
        <v>801</v>
      </c>
      <c r="G11" s="174"/>
      <c r="H11" s="124">
        <v>10</v>
      </c>
      <c r="I11" s="174"/>
      <c r="J11" s="152"/>
      <c r="K11" s="124">
        <f>6290+16</f>
        <v>6306</v>
      </c>
      <c r="L11" s="174"/>
      <c r="M11" s="124">
        <f t="shared" si="0"/>
        <v>13295</v>
      </c>
      <c r="N11" s="174"/>
    </row>
    <row r="12" spans="1:39" ht="17.649999999999999" customHeight="1" x14ac:dyDescent="0.35">
      <c r="A12" s="122" t="s">
        <v>8</v>
      </c>
      <c r="B12" s="124">
        <v>997</v>
      </c>
      <c r="C12" s="174"/>
      <c r="D12" s="124">
        <v>4493</v>
      </c>
      <c r="E12" s="174"/>
      <c r="F12" s="124">
        <v>746</v>
      </c>
      <c r="G12" s="174"/>
      <c r="H12" s="124">
        <v>10</v>
      </c>
      <c r="I12" s="174"/>
      <c r="J12" s="152"/>
      <c r="K12" s="124">
        <f>6614+25</f>
        <v>6639</v>
      </c>
      <c r="L12" s="174"/>
      <c r="M12" s="124">
        <f t="shared" si="0"/>
        <v>12885</v>
      </c>
      <c r="N12" s="174"/>
    </row>
    <row r="13" spans="1:39" ht="17.649999999999999" customHeight="1" x14ac:dyDescent="0.35">
      <c r="A13" s="122" t="s">
        <v>9</v>
      </c>
      <c r="B13" s="124">
        <v>1148</v>
      </c>
      <c r="C13" s="174"/>
      <c r="D13" s="124">
        <v>6738</v>
      </c>
      <c r="E13" s="174"/>
      <c r="F13" s="124">
        <v>782</v>
      </c>
      <c r="G13" s="174"/>
      <c r="H13" s="124">
        <v>10</v>
      </c>
      <c r="I13" s="174"/>
      <c r="J13" s="152"/>
      <c r="K13" s="124">
        <f>6009+23</f>
        <v>6032</v>
      </c>
      <c r="L13" s="174"/>
      <c r="M13" s="124">
        <f t="shared" si="0"/>
        <v>14710</v>
      </c>
      <c r="N13" s="174"/>
    </row>
    <row r="14" spans="1:39" ht="17.649999999999999" customHeight="1" x14ac:dyDescent="0.35">
      <c r="A14" s="122" t="s">
        <v>10</v>
      </c>
      <c r="B14" s="124">
        <v>1221</v>
      </c>
      <c r="C14" s="174"/>
      <c r="D14" s="124">
        <v>5274</v>
      </c>
      <c r="E14" s="174"/>
      <c r="F14" s="124">
        <v>790</v>
      </c>
      <c r="G14" s="174"/>
      <c r="H14" s="124">
        <v>10</v>
      </c>
      <c r="I14" s="174"/>
      <c r="J14" s="152"/>
      <c r="K14" s="124">
        <f>6311+21</f>
        <v>6332</v>
      </c>
      <c r="L14" s="174"/>
      <c r="M14" s="124">
        <f t="shared" si="0"/>
        <v>13627</v>
      </c>
      <c r="N14" s="174"/>
    </row>
    <row r="15" spans="1:39" ht="17.649999999999999" customHeight="1" x14ac:dyDescent="0.35">
      <c r="A15" s="122" t="s">
        <v>11</v>
      </c>
      <c r="B15" s="124">
        <v>1745</v>
      </c>
      <c r="C15" s="174"/>
      <c r="D15" s="124">
        <v>4806</v>
      </c>
      <c r="E15" s="174"/>
      <c r="F15" s="124">
        <v>844</v>
      </c>
      <c r="G15" s="174"/>
      <c r="H15" s="124">
        <v>10</v>
      </c>
      <c r="I15" s="174"/>
      <c r="J15" s="152"/>
      <c r="K15" s="124">
        <f>6298+24</f>
        <v>6322</v>
      </c>
      <c r="L15" s="174"/>
      <c r="M15" s="124">
        <f t="shared" si="0"/>
        <v>13727</v>
      </c>
      <c r="N15" s="174"/>
    </row>
    <row r="16" spans="1:39" ht="17.649999999999999" customHeight="1" x14ac:dyDescent="0.35">
      <c r="A16" s="122" t="s">
        <v>12</v>
      </c>
      <c r="B16" s="124">
        <v>2413</v>
      </c>
      <c r="C16" s="174"/>
      <c r="D16" s="124">
        <v>6672</v>
      </c>
      <c r="E16" s="174"/>
      <c r="F16" s="124">
        <v>876</v>
      </c>
      <c r="G16" s="174"/>
      <c r="H16" s="124">
        <v>3</v>
      </c>
      <c r="I16" s="174"/>
      <c r="J16" s="152"/>
      <c r="K16" s="124">
        <f>4843+24</f>
        <v>4867</v>
      </c>
      <c r="L16" s="174"/>
      <c r="M16" s="124">
        <f t="shared" si="0"/>
        <v>14831</v>
      </c>
      <c r="N16" s="174"/>
    </row>
    <row r="17" spans="1:14" ht="17.649999999999999" customHeight="1" x14ac:dyDescent="0.35">
      <c r="A17" s="122" t="s">
        <v>13</v>
      </c>
      <c r="B17" s="124">
        <v>2259</v>
      </c>
      <c r="C17" s="174"/>
      <c r="D17" s="124">
        <v>6035</v>
      </c>
      <c r="E17" s="174"/>
      <c r="F17" s="124">
        <v>853</v>
      </c>
      <c r="G17" s="174"/>
      <c r="H17" s="124">
        <v>6</v>
      </c>
      <c r="I17" s="174"/>
      <c r="J17" s="152"/>
      <c r="K17" s="124">
        <f>3291+24</f>
        <v>3315</v>
      </c>
      <c r="L17" s="174"/>
      <c r="M17" s="124">
        <f t="shared" si="0"/>
        <v>12468</v>
      </c>
      <c r="N17" s="174"/>
    </row>
    <row r="18" spans="1:14" ht="17.649999999999999" customHeight="1" x14ac:dyDescent="0.35">
      <c r="A18" s="122" t="s">
        <v>14</v>
      </c>
      <c r="B18" s="124">
        <v>1290</v>
      </c>
      <c r="C18" s="174"/>
      <c r="D18" s="124">
        <v>4677</v>
      </c>
      <c r="E18" s="174"/>
      <c r="F18" s="124">
        <v>817</v>
      </c>
      <c r="G18" s="174"/>
      <c r="H18" s="124">
        <v>3</v>
      </c>
      <c r="I18" s="174"/>
      <c r="J18" s="152"/>
      <c r="K18" s="124">
        <f>3255+25</f>
        <v>3280</v>
      </c>
      <c r="L18" s="174"/>
      <c r="M18" s="124">
        <f t="shared" si="0"/>
        <v>10067</v>
      </c>
      <c r="N18" s="174"/>
    </row>
    <row r="19" spans="1:14" ht="17.649999999999999" customHeight="1" x14ac:dyDescent="0.35">
      <c r="A19" s="122" t="s">
        <v>15</v>
      </c>
      <c r="B19" s="124">
        <v>2192</v>
      </c>
      <c r="C19" s="174"/>
      <c r="D19" s="124">
        <v>4257</v>
      </c>
      <c r="E19" s="174"/>
      <c r="F19" s="124">
        <v>871</v>
      </c>
      <c r="G19" s="174"/>
      <c r="H19" s="124">
        <v>4</v>
      </c>
      <c r="I19" s="174"/>
      <c r="J19" s="152"/>
      <c r="K19" s="124">
        <f>7273+27</f>
        <v>7300</v>
      </c>
      <c r="L19" s="174"/>
      <c r="M19" s="124">
        <f t="shared" si="0"/>
        <v>14624</v>
      </c>
      <c r="N19" s="174"/>
    </row>
    <row r="20" spans="1:14" ht="17.649999999999999" customHeight="1" x14ac:dyDescent="0.35">
      <c r="A20" s="122" t="s">
        <v>16</v>
      </c>
      <c r="B20" s="124">
        <v>1922</v>
      </c>
      <c r="C20" s="174"/>
      <c r="D20" s="124">
        <v>4226</v>
      </c>
      <c r="E20" s="174"/>
      <c r="F20" s="124">
        <v>852</v>
      </c>
      <c r="G20" s="174"/>
      <c r="H20" s="127">
        <v>0</v>
      </c>
      <c r="I20" s="174"/>
      <c r="J20" s="152"/>
      <c r="K20" s="124">
        <f>4271+24</f>
        <v>4295</v>
      </c>
      <c r="L20" s="174"/>
      <c r="M20" s="124">
        <f t="shared" si="0"/>
        <v>11295</v>
      </c>
      <c r="N20" s="174"/>
    </row>
    <row r="21" spans="1:14" ht="17.649999999999999" customHeight="1" x14ac:dyDescent="0.35">
      <c r="A21" s="122" t="s">
        <v>17</v>
      </c>
      <c r="B21" s="124">
        <v>1907</v>
      </c>
      <c r="C21" s="174"/>
      <c r="D21" s="124">
        <v>4532</v>
      </c>
      <c r="E21" s="174"/>
      <c r="F21" s="124">
        <v>1309</v>
      </c>
      <c r="G21" s="174"/>
      <c r="H21" s="127">
        <v>0</v>
      </c>
      <c r="I21" s="174"/>
      <c r="J21" s="152"/>
      <c r="K21" s="124">
        <f>6120+22</f>
        <v>6142</v>
      </c>
      <c r="L21" s="174"/>
      <c r="M21" s="124">
        <f t="shared" si="0"/>
        <v>13890</v>
      </c>
      <c r="N21" s="174"/>
    </row>
    <row r="22" spans="1:14" ht="17.649999999999999" customHeight="1" x14ac:dyDescent="0.35">
      <c r="A22" s="122" t="s">
        <v>18</v>
      </c>
      <c r="B22" s="124">
        <v>2456</v>
      </c>
      <c r="C22" s="174"/>
      <c r="D22" s="124">
        <v>3767</v>
      </c>
      <c r="E22" s="174"/>
      <c r="F22" s="124">
        <v>1094</v>
      </c>
      <c r="G22" s="174"/>
      <c r="H22" s="127">
        <v>0</v>
      </c>
      <c r="I22" s="174"/>
      <c r="J22" s="152"/>
      <c r="K22" s="124">
        <f>5122+7</f>
        <v>5129</v>
      </c>
      <c r="L22" s="174"/>
      <c r="M22" s="124">
        <f t="shared" si="0"/>
        <v>12446</v>
      </c>
      <c r="N22" s="174"/>
    </row>
    <row r="23" spans="1:14" ht="17.649999999999999" customHeight="1" x14ac:dyDescent="0.35">
      <c r="A23" s="122" t="s">
        <v>19</v>
      </c>
      <c r="B23" s="124">
        <v>2392</v>
      </c>
      <c r="C23" s="174"/>
      <c r="D23" s="124">
        <v>11185</v>
      </c>
      <c r="E23" s="174"/>
      <c r="F23" s="124">
        <v>3082</v>
      </c>
      <c r="G23" s="174"/>
      <c r="H23" s="128">
        <v>0</v>
      </c>
      <c r="I23" s="174"/>
      <c r="J23" s="152"/>
      <c r="K23" s="124">
        <f>4885+0</f>
        <v>4885</v>
      </c>
      <c r="L23" s="174"/>
      <c r="M23" s="124">
        <f t="shared" si="0"/>
        <v>21544</v>
      </c>
      <c r="N23" s="174"/>
    </row>
    <row r="24" spans="1:14" ht="17.649999999999999" customHeight="1" x14ac:dyDescent="0.35">
      <c r="A24" s="122" t="s">
        <v>20</v>
      </c>
      <c r="B24" s="124">
        <v>3525</v>
      </c>
      <c r="C24" s="174"/>
      <c r="D24" s="124">
        <v>9944</v>
      </c>
      <c r="E24" s="174"/>
      <c r="F24" s="124">
        <v>2964</v>
      </c>
      <c r="G24" s="174"/>
      <c r="H24" s="128">
        <v>0</v>
      </c>
      <c r="I24" s="174"/>
      <c r="J24" s="152"/>
      <c r="K24" s="124">
        <f>4847+29</f>
        <v>4876</v>
      </c>
      <c r="L24" s="174"/>
      <c r="M24" s="124">
        <f t="shared" si="0"/>
        <v>21309</v>
      </c>
      <c r="N24" s="174"/>
    </row>
    <row r="25" spans="1:14" ht="17.649999999999999" customHeight="1" x14ac:dyDescent="0.35">
      <c r="A25" s="122" t="s">
        <v>21</v>
      </c>
      <c r="B25" s="124">
        <v>2000</v>
      </c>
      <c r="C25" s="174"/>
      <c r="D25" s="124">
        <v>4070</v>
      </c>
      <c r="E25" s="174"/>
      <c r="F25" s="124">
        <v>-1378</v>
      </c>
      <c r="G25" s="174"/>
      <c r="H25" s="124">
        <v>6</v>
      </c>
      <c r="I25" s="174"/>
      <c r="J25" s="152"/>
      <c r="K25" s="124">
        <f>4765+17</f>
        <v>4782</v>
      </c>
      <c r="L25" s="174"/>
      <c r="M25" s="124">
        <f t="shared" si="0"/>
        <v>9480</v>
      </c>
      <c r="N25" s="174"/>
    </row>
    <row r="26" spans="1:14" ht="17.649999999999999" customHeight="1" x14ac:dyDescent="0.35">
      <c r="A26" s="122" t="s">
        <v>22</v>
      </c>
      <c r="B26" s="124">
        <v>2403</v>
      </c>
      <c r="C26" s="174"/>
      <c r="D26" s="124">
        <v>-8464</v>
      </c>
      <c r="E26" s="174"/>
      <c r="F26" s="124">
        <v>1005</v>
      </c>
      <c r="G26" s="174"/>
      <c r="H26" s="124">
        <v>9</v>
      </c>
      <c r="I26" s="174"/>
      <c r="J26" s="152"/>
      <c r="K26" s="124">
        <f>5257+13</f>
        <v>5270</v>
      </c>
      <c r="L26" s="174"/>
      <c r="M26" s="124">
        <f t="shared" si="0"/>
        <v>223</v>
      </c>
      <c r="N26" s="174" t="s">
        <v>23</v>
      </c>
    </row>
    <row r="27" spans="1:14" ht="17.649999999999999" customHeight="1" x14ac:dyDescent="0.35">
      <c r="A27" s="122" t="s">
        <v>24</v>
      </c>
      <c r="B27" s="124">
        <v>2538</v>
      </c>
      <c r="C27" s="174"/>
      <c r="D27" s="124">
        <v>7649</v>
      </c>
      <c r="E27" s="174"/>
      <c r="F27" s="124">
        <v>1001</v>
      </c>
      <c r="G27" s="174"/>
      <c r="H27" s="124">
        <v>10</v>
      </c>
      <c r="I27" s="174"/>
      <c r="J27" s="186"/>
      <c r="K27" s="124">
        <f>5468+24</f>
        <v>5492</v>
      </c>
      <c r="L27" s="174"/>
      <c r="M27" s="124">
        <f t="shared" si="0"/>
        <v>16690</v>
      </c>
      <c r="N27" s="174"/>
    </row>
    <row r="28" spans="1:14" ht="17.649999999999999" customHeight="1" x14ac:dyDescent="0.35">
      <c r="A28" s="122" t="s">
        <v>25</v>
      </c>
      <c r="B28" s="124">
        <v>2823</v>
      </c>
      <c r="C28" s="174"/>
      <c r="D28" s="124">
        <v>4311</v>
      </c>
      <c r="E28" s="174"/>
      <c r="F28" s="124">
        <v>-1049</v>
      </c>
      <c r="G28" s="174"/>
      <c r="H28" s="124">
        <v>5</v>
      </c>
      <c r="I28" s="174"/>
      <c r="J28" s="186"/>
      <c r="K28" s="124">
        <f>4881+22</f>
        <v>4903</v>
      </c>
      <c r="L28" s="174"/>
      <c r="M28" s="124">
        <f t="shared" si="0"/>
        <v>10993</v>
      </c>
      <c r="N28" s="174"/>
    </row>
    <row r="29" spans="1:14" ht="17.649999999999999" customHeight="1" x14ac:dyDescent="0.35">
      <c r="A29" s="122" t="s">
        <v>101</v>
      </c>
      <c r="B29" s="124">
        <v>2536</v>
      </c>
      <c r="C29" s="174"/>
      <c r="D29" s="124">
        <v>5854</v>
      </c>
      <c r="E29" s="174"/>
      <c r="F29" s="124">
        <v>1854</v>
      </c>
      <c r="G29" s="174"/>
      <c r="H29" s="124">
        <v>19</v>
      </c>
      <c r="I29" s="174"/>
      <c r="J29" s="186"/>
      <c r="K29" s="124">
        <f>6184+26</f>
        <v>6210</v>
      </c>
      <c r="L29" s="174"/>
      <c r="M29" s="124">
        <f t="shared" si="0"/>
        <v>16473</v>
      </c>
      <c r="N29" s="174"/>
    </row>
    <row r="30" spans="1:14" ht="17.649999999999999" customHeight="1" x14ac:dyDescent="0.35">
      <c r="A30" s="122" t="s">
        <v>26</v>
      </c>
      <c r="B30" s="124">
        <v>2764</v>
      </c>
      <c r="C30" s="174"/>
      <c r="D30" s="124">
        <v>8234</v>
      </c>
      <c r="E30" s="174"/>
      <c r="F30" s="124">
        <v>1198</v>
      </c>
      <c r="G30" s="174"/>
      <c r="H30" s="124">
        <v>18</v>
      </c>
      <c r="I30" s="174"/>
      <c r="J30" s="186"/>
      <c r="K30" s="124">
        <f>6304+28</f>
        <v>6332</v>
      </c>
      <c r="L30" s="174"/>
      <c r="M30" s="124">
        <f t="shared" si="0"/>
        <v>18546</v>
      </c>
      <c r="N30" s="174"/>
    </row>
    <row r="31" spans="1:14" ht="17.649999999999999" customHeight="1" x14ac:dyDescent="0.35">
      <c r="A31" s="122" t="s">
        <v>27</v>
      </c>
      <c r="B31" s="124">
        <v>2835</v>
      </c>
      <c r="C31" s="174"/>
      <c r="D31" s="124">
        <v>7899</v>
      </c>
      <c r="E31" s="174"/>
      <c r="F31" s="124">
        <v>1105</v>
      </c>
      <c r="G31" s="174"/>
      <c r="H31" s="128">
        <v>0</v>
      </c>
      <c r="I31" s="174"/>
      <c r="J31" s="186"/>
      <c r="K31" s="124">
        <f>4321+19</f>
        <v>4340</v>
      </c>
      <c r="L31" s="174"/>
      <c r="M31" s="124">
        <f t="shared" si="0"/>
        <v>16179</v>
      </c>
      <c r="N31" s="174"/>
    </row>
    <row r="32" spans="1:14" ht="17.649999999999999" customHeight="1" x14ac:dyDescent="0.35">
      <c r="A32" s="122" t="s">
        <v>102</v>
      </c>
      <c r="B32" s="124">
        <v>2730</v>
      </c>
      <c r="C32" s="174"/>
      <c r="D32" s="124">
        <v>6425</v>
      </c>
      <c r="E32" s="174"/>
      <c r="F32" s="124">
        <v>1040</v>
      </c>
      <c r="G32" s="174"/>
      <c r="H32" s="124">
        <v>8</v>
      </c>
      <c r="I32" s="174"/>
      <c r="J32" s="186"/>
      <c r="K32" s="124">
        <f>3027+22</f>
        <v>3049</v>
      </c>
      <c r="L32" s="174"/>
      <c r="M32" s="124">
        <f t="shared" si="0"/>
        <v>13252</v>
      </c>
      <c r="N32" s="174"/>
    </row>
    <row r="33" spans="1:14" ht="17.649999999999999" customHeight="1" x14ac:dyDescent="0.35">
      <c r="A33" s="122" t="s">
        <v>103</v>
      </c>
      <c r="B33" s="124">
        <v>2865</v>
      </c>
      <c r="C33" s="174"/>
      <c r="D33" s="124">
        <v>7651</v>
      </c>
      <c r="E33" s="174"/>
      <c r="F33" s="124">
        <v>1172</v>
      </c>
      <c r="G33" s="174"/>
      <c r="H33" s="124">
        <v>11</v>
      </c>
      <c r="I33" s="174"/>
      <c r="J33" s="152"/>
      <c r="K33" s="124">
        <v>2603</v>
      </c>
      <c r="L33" s="174"/>
      <c r="M33" s="124">
        <f t="shared" si="0"/>
        <v>14302</v>
      </c>
      <c r="N33" s="174"/>
    </row>
    <row r="34" spans="1:14" ht="17.649999999999999" customHeight="1" x14ac:dyDescent="0.35">
      <c r="A34" s="122" t="s">
        <v>104</v>
      </c>
      <c r="B34" s="124">
        <v>2978</v>
      </c>
      <c r="C34" s="174"/>
      <c r="D34" s="124">
        <v>7861</v>
      </c>
      <c r="E34" s="174"/>
      <c r="F34" s="124">
        <v>1222</v>
      </c>
      <c r="G34" s="174"/>
      <c r="H34" s="124">
        <v>3</v>
      </c>
      <c r="I34" s="174"/>
      <c r="J34" s="152"/>
      <c r="K34" s="124">
        <v>3232</v>
      </c>
      <c r="L34" s="174"/>
      <c r="M34" s="124">
        <f t="shared" si="0"/>
        <v>15296</v>
      </c>
      <c r="N34" s="174"/>
    </row>
    <row r="35" spans="1:14" ht="17.649999999999999" customHeight="1" x14ac:dyDescent="0.35">
      <c r="A35" s="122" t="s">
        <v>28</v>
      </c>
      <c r="B35" s="124">
        <v>1977</v>
      </c>
      <c r="C35" s="174"/>
      <c r="D35" s="124">
        <v>6129</v>
      </c>
      <c r="E35" s="174"/>
      <c r="F35" s="124">
        <v>1444</v>
      </c>
      <c r="G35" s="174"/>
      <c r="H35" s="124">
        <v>7</v>
      </c>
      <c r="I35" s="174"/>
      <c r="J35" s="152"/>
      <c r="K35" s="124">
        <v>2759</v>
      </c>
      <c r="L35" s="174"/>
      <c r="M35" s="124">
        <f t="shared" si="0"/>
        <v>12316</v>
      </c>
      <c r="N35" s="174"/>
    </row>
    <row r="36" spans="1:14" ht="17.649999999999999" customHeight="1" x14ac:dyDescent="0.35">
      <c r="A36" s="122" t="s">
        <v>29</v>
      </c>
      <c r="B36" s="124">
        <v>2269</v>
      </c>
      <c r="C36" s="174"/>
      <c r="D36" s="124">
        <v>5806</v>
      </c>
      <c r="E36" s="174"/>
      <c r="F36" s="124">
        <v>1193</v>
      </c>
      <c r="G36" s="174"/>
      <c r="H36" s="124">
        <v>12</v>
      </c>
      <c r="I36" s="174"/>
      <c r="J36" s="152"/>
      <c r="K36" s="124">
        <v>3581</v>
      </c>
      <c r="L36" s="174"/>
      <c r="M36" s="124">
        <f t="shared" si="0"/>
        <v>12861</v>
      </c>
      <c r="N36" s="174"/>
    </row>
    <row r="37" spans="1:14" ht="17.649999999999999" customHeight="1" x14ac:dyDescent="0.35">
      <c r="A37" s="122" t="s">
        <v>30</v>
      </c>
      <c r="B37" s="124">
        <v>2352</v>
      </c>
      <c r="C37" s="174"/>
      <c r="D37" s="124">
        <v>5170</v>
      </c>
      <c r="E37" s="174"/>
      <c r="F37" s="124">
        <v>1071</v>
      </c>
      <c r="G37" s="174"/>
      <c r="H37" s="124">
        <v>10</v>
      </c>
      <c r="I37" s="174"/>
      <c r="J37" s="152"/>
      <c r="K37" s="124">
        <v>2379</v>
      </c>
      <c r="L37" s="174"/>
      <c r="M37" s="124">
        <f t="shared" si="0"/>
        <v>10982</v>
      </c>
      <c r="N37" s="174"/>
    </row>
    <row r="38" spans="1:14" ht="17.649999999999999" customHeight="1" x14ac:dyDescent="0.35">
      <c r="A38" s="122" t="s">
        <v>31</v>
      </c>
      <c r="B38" s="124">
        <v>1922</v>
      </c>
      <c r="C38" s="174"/>
      <c r="D38" s="124">
        <v>5663</v>
      </c>
      <c r="E38" s="174"/>
      <c r="F38" s="124">
        <v>873</v>
      </c>
      <c r="G38" s="174"/>
      <c r="H38" s="124">
        <v>2</v>
      </c>
      <c r="I38" s="174"/>
      <c r="J38" s="152"/>
      <c r="K38" s="124">
        <v>2622</v>
      </c>
      <c r="L38" s="174"/>
      <c r="M38" s="124">
        <f t="shared" si="0"/>
        <v>11082</v>
      </c>
      <c r="N38" s="174"/>
    </row>
    <row r="39" spans="1:14" ht="17.649999999999999" customHeight="1" x14ac:dyDescent="0.35">
      <c r="A39" s="122" t="s">
        <v>32</v>
      </c>
      <c r="B39" s="124">
        <v>2519</v>
      </c>
      <c r="C39" s="174"/>
      <c r="D39" s="124">
        <v>5924</v>
      </c>
      <c r="E39" s="174"/>
      <c r="F39" s="124">
        <v>1152</v>
      </c>
      <c r="G39" s="174"/>
      <c r="H39" s="124">
        <v>15</v>
      </c>
      <c r="I39" s="174"/>
      <c r="J39" s="152"/>
      <c r="K39" s="124">
        <v>2608</v>
      </c>
      <c r="L39" s="174"/>
      <c r="M39" s="124">
        <f t="shared" si="0"/>
        <v>12218</v>
      </c>
      <c r="N39" s="174"/>
    </row>
    <row r="40" spans="1:14" ht="17.649999999999999" customHeight="1" x14ac:dyDescent="0.35">
      <c r="A40" s="122" t="s">
        <v>33</v>
      </c>
      <c r="B40" s="124">
        <v>2002</v>
      </c>
      <c r="C40" s="174"/>
      <c r="D40" s="124">
        <v>4218</v>
      </c>
      <c r="E40" s="174"/>
      <c r="F40" s="124">
        <v>1018</v>
      </c>
      <c r="G40" s="174"/>
      <c r="H40" s="124">
        <v>5</v>
      </c>
      <c r="I40" s="174"/>
      <c r="J40" s="152"/>
      <c r="K40" s="124">
        <v>2204</v>
      </c>
      <c r="L40" s="174"/>
      <c r="M40" s="124">
        <f t="shared" si="0"/>
        <v>9447</v>
      </c>
      <c r="N40" s="174"/>
    </row>
    <row r="41" spans="1:14" ht="17.649999999999999" customHeight="1" x14ac:dyDescent="0.35">
      <c r="A41" s="122" t="s">
        <v>34</v>
      </c>
      <c r="B41" s="124">
        <v>2849</v>
      </c>
      <c r="C41" s="174"/>
      <c r="D41" s="124">
        <v>4436</v>
      </c>
      <c r="E41" s="174"/>
      <c r="F41" s="124">
        <v>885</v>
      </c>
      <c r="G41" s="174"/>
      <c r="H41" s="124">
        <v>4</v>
      </c>
      <c r="I41" s="174"/>
      <c r="J41" s="152"/>
      <c r="K41" s="124">
        <v>2555</v>
      </c>
      <c r="L41" s="174"/>
      <c r="M41" s="124">
        <f t="shared" si="0"/>
        <v>10729</v>
      </c>
      <c r="N41" s="174"/>
    </row>
    <row r="42" spans="1:14" s="11" customFormat="1" ht="17.649999999999999" customHeight="1" x14ac:dyDescent="0.3">
      <c r="A42" s="131" t="s">
        <v>35</v>
      </c>
      <c r="B42" s="124">
        <v>1903</v>
      </c>
      <c r="C42" s="124"/>
      <c r="D42" s="124">
        <v>3867</v>
      </c>
      <c r="E42" s="124"/>
      <c r="F42" s="124">
        <v>693</v>
      </c>
      <c r="G42" s="124"/>
      <c r="H42" s="124">
        <v>4</v>
      </c>
      <c r="I42" s="124"/>
      <c r="J42" s="130"/>
      <c r="K42" s="124">
        <v>3278</v>
      </c>
      <c r="L42" s="124"/>
      <c r="M42" s="124">
        <f t="shared" si="0"/>
        <v>9745</v>
      </c>
      <c r="N42" s="124"/>
    </row>
    <row r="43" spans="1:14" s="11" customFormat="1" ht="17.649999999999999" customHeight="1" x14ac:dyDescent="0.3">
      <c r="A43" s="122" t="s">
        <v>36</v>
      </c>
      <c r="B43" s="124">
        <v>1978</v>
      </c>
      <c r="C43" s="124"/>
      <c r="D43" s="124">
        <v>4170</v>
      </c>
      <c r="E43" s="124"/>
      <c r="F43" s="124">
        <v>761</v>
      </c>
      <c r="G43" s="124"/>
      <c r="H43" s="124">
        <v>2</v>
      </c>
      <c r="I43" s="124"/>
      <c r="J43" s="130"/>
      <c r="K43" s="124">
        <v>3051</v>
      </c>
      <c r="L43" s="124"/>
      <c r="M43" s="124">
        <f t="shared" si="0"/>
        <v>9962</v>
      </c>
      <c r="N43" s="124"/>
    </row>
    <row r="44" spans="1:14" s="11" customFormat="1" ht="17.649999999999999" customHeight="1" x14ac:dyDescent="0.3">
      <c r="A44" s="122" t="s">
        <v>37</v>
      </c>
      <c r="B44" s="124">
        <v>2069</v>
      </c>
      <c r="C44" s="124"/>
      <c r="D44" s="124">
        <v>5483</v>
      </c>
      <c r="E44" s="124"/>
      <c r="F44" s="124">
        <v>796</v>
      </c>
      <c r="G44" s="124"/>
      <c r="H44" s="124">
        <v>2</v>
      </c>
      <c r="I44" s="124"/>
      <c r="J44" s="130"/>
      <c r="K44" s="124">
        <v>2726</v>
      </c>
      <c r="L44" s="124"/>
      <c r="M44" s="124">
        <f t="shared" si="0"/>
        <v>11076</v>
      </c>
      <c r="N44" s="124"/>
    </row>
    <row r="45" spans="1:14" s="11" customFormat="1" ht="17.649999999999999" customHeight="1" x14ac:dyDescent="0.3">
      <c r="A45" s="122" t="s">
        <v>38</v>
      </c>
      <c r="B45" s="124">
        <v>2284</v>
      </c>
      <c r="C45" s="124"/>
      <c r="D45" s="124">
        <v>7660</v>
      </c>
      <c r="E45" s="124"/>
      <c r="F45" s="124">
        <v>829</v>
      </c>
      <c r="G45" s="124"/>
      <c r="H45" s="124">
        <v>1</v>
      </c>
      <c r="I45" s="124"/>
      <c r="J45" s="130"/>
      <c r="K45" s="124">
        <v>2388</v>
      </c>
      <c r="L45" s="124"/>
      <c r="M45" s="124">
        <f t="shared" si="0"/>
        <v>13162</v>
      </c>
      <c r="N45" s="124"/>
    </row>
    <row r="46" spans="1:14" s="11" customFormat="1" ht="17.649999999999999" customHeight="1" x14ac:dyDescent="0.3">
      <c r="A46" s="122" t="s">
        <v>39</v>
      </c>
      <c r="B46" s="124">
        <v>2432</v>
      </c>
      <c r="C46" s="124"/>
      <c r="D46" s="124">
        <v>6029</v>
      </c>
      <c r="E46" s="124"/>
      <c r="F46" s="124">
        <v>824</v>
      </c>
      <c r="G46" s="124"/>
      <c r="H46" s="124">
        <v>0</v>
      </c>
      <c r="I46" s="124"/>
      <c r="J46" s="130"/>
      <c r="K46" s="124">
        <v>2301</v>
      </c>
      <c r="L46" s="124"/>
      <c r="M46" s="124">
        <f t="shared" si="0"/>
        <v>11586</v>
      </c>
      <c r="N46" s="124"/>
    </row>
    <row r="47" spans="1:14" s="11" customFormat="1" ht="17.649999999999999" customHeight="1" x14ac:dyDescent="0.3">
      <c r="A47" s="122" t="s">
        <v>40</v>
      </c>
      <c r="B47" s="124">
        <v>3195</v>
      </c>
      <c r="C47" s="124"/>
      <c r="D47" s="124">
        <v>7444</v>
      </c>
      <c r="E47" s="124"/>
      <c r="F47" s="124">
        <v>2413</v>
      </c>
      <c r="G47" s="124"/>
      <c r="H47" s="124">
        <v>2</v>
      </c>
      <c r="I47" s="124"/>
      <c r="J47" s="130"/>
      <c r="K47" s="124">
        <v>2393</v>
      </c>
      <c r="L47" s="124"/>
      <c r="M47" s="124">
        <f t="shared" si="0"/>
        <v>15447</v>
      </c>
      <c r="N47" s="124"/>
    </row>
    <row r="48" spans="1:14" s="11" customFormat="1" ht="17.649999999999999" customHeight="1" x14ac:dyDescent="0.3">
      <c r="A48" s="122" t="s">
        <v>41</v>
      </c>
      <c r="B48" s="124">
        <f>+[2]ActualDeliveries!F$105</f>
        <v>2243</v>
      </c>
      <c r="C48" s="124"/>
      <c r="D48" s="124">
        <f>+[2]ActualDeliveries!F$106</f>
        <v>4675</v>
      </c>
      <c r="E48" s="124"/>
      <c r="F48" s="124">
        <f>+[2]ActualDeliveries!F$107</f>
        <v>918</v>
      </c>
      <c r="G48" s="124"/>
      <c r="H48" s="124">
        <f>+[2]ActualDeliveries!F$108</f>
        <v>2</v>
      </c>
      <c r="I48" s="124"/>
      <c r="J48" s="130"/>
      <c r="K48" s="124">
        <f>+[2]ActualDeliveries!F$109</f>
        <v>3442</v>
      </c>
      <c r="L48" s="124"/>
      <c r="M48" s="124">
        <f t="shared" si="0"/>
        <v>11280</v>
      </c>
      <c r="N48" s="124"/>
    </row>
    <row r="49" spans="1:36" s="11" customFormat="1" ht="17.649999999999999" customHeight="1" x14ac:dyDescent="0.3">
      <c r="A49" s="122" t="s">
        <v>42</v>
      </c>
      <c r="B49" s="124">
        <f t="shared" ref="B49:B56" si="1">+B$59</f>
        <v>2300.5714285714284</v>
      </c>
      <c r="C49" s="124"/>
      <c r="D49" s="124">
        <f t="shared" ref="D49:D56" si="2">+D$59</f>
        <v>5618.2857142857147</v>
      </c>
      <c r="E49" s="124"/>
      <c r="F49" s="124">
        <f t="shared" ref="F49:F56" si="3">+F$59</f>
        <v>1033.4285714285713</v>
      </c>
      <c r="G49" s="124"/>
      <c r="H49" s="124">
        <f t="shared" ref="H49:H56" si="4">+H$59</f>
        <v>1.8571428571428572</v>
      </c>
      <c r="I49" s="124"/>
      <c r="J49" s="130"/>
      <c r="K49" s="124">
        <f t="shared" ref="K49:K56" si="5">+K$59</f>
        <v>2797</v>
      </c>
      <c r="L49" s="124"/>
      <c r="M49" s="124">
        <f t="shared" si="0"/>
        <v>11751.142857142857</v>
      </c>
      <c r="N49" s="124"/>
    </row>
    <row r="50" spans="1:36" s="11" customFormat="1" ht="17.649999999999999" customHeight="1" x14ac:dyDescent="0.3">
      <c r="A50" s="122" t="s">
        <v>43</v>
      </c>
      <c r="B50" s="124">
        <f t="shared" si="1"/>
        <v>2300.5714285714284</v>
      </c>
      <c r="C50" s="124">
        <f>ROUND(B50*[2]Manual_Input!K55,6)</f>
        <v>2247.1903040000002</v>
      </c>
      <c r="D50" s="124">
        <f t="shared" si="2"/>
        <v>5618.2857142857147</v>
      </c>
      <c r="E50" s="124">
        <f>ROUND(D50*[2]Manual_Input!K55,6)</f>
        <v>5487.9222710000004</v>
      </c>
      <c r="F50" s="124">
        <f t="shared" si="3"/>
        <v>1033.4285714285713</v>
      </c>
      <c r="G50" s="124">
        <f>ROUND(F50*[2]Manual_Input!K55,6)</f>
        <v>1009.449494</v>
      </c>
      <c r="H50" s="124">
        <f t="shared" si="4"/>
        <v>1.8571428571428572</v>
      </c>
      <c r="I50" s="124">
        <f>ROUND(H50*[2]Manual_Input!K55,6)</f>
        <v>1.8140510000000001</v>
      </c>
      <c r="J50" s="130"/>
      <c r="K50" s="124">
        <f t="shared" si="5"/>
        <v>2797</v>
      </c>
      <c r="L50" s="124">
        <f>ROUND(K50*[2]Manual_Input!K55,6)</f>
        <v>2732.1000340000001</v>
      </c>
      <c r="M50" s="124">
        <f t="shared" si="0"/>
        <v>11751.142857142857</v>
      </c>
      <c r="N50" s="124">
        <f t="shared" si="0"/>
        <v>11478.476154</v>
      </c>
    </row>
    <row r="51" spans="1:36" s="11" customFormat="1" ht="17.649999999999999" customHeight="1" x14ac:dyDescent="0.3">
      <c r="A51" s="122" t="s">
        <v>44</v>
      </c>
      <c r="B51" s="124">
        <f t="shared" si="1"/>
        <v>2300.5714285714284</v>
      </c>
      <c r="C51" s="124">
        <f>ROUND(B51*[2]Manual_Input!K56,6)</f>
        <v>2195.0478029999999</v>
      </c>
      <c r="D51" s="124">
        <f t="shared" si="2"/>
        <v>5618.2857142857147</v>
      </c>
      <c r="E51" s="124">
        <f>ROUND(D51*[2]Manual_Input!K56,6)</f>
        <v>5360.5837060000003</v>
      </c>
      <c r="F51" s="124">
        <f t="shared" si="3"/>
        <v>1033.4285714285713</v>
      </c>
      <c r="G51" s="124">
        <f>ROUND(F51*[2]Manual_Input!K56,6)</f>
        <v>986.02681399999994</v>
      </c>
      <c r="H51" s="124">
        <f t="shared" si="4"/>
        <v>1.8571428571428572</v>
      </c>
      <c r="I51" s="124">
        <f>ROUND(H51*[2]Manual_Input!K56,6)</f>
        <v>1.7719590000000001</v>
      </c>
      <c r="J51" s="130"/>
      <c r="K51" s="124">
        <f t="shared" si="5"/>
        <v>2797</v>
      </c>
      <c r="L51" s="124">
        <f>ROUND(K51*[2]Manual_Input!K56,6)</f>
        <v>2668.70597</v>
      </c>
      <c r="M51" s="124">
        <f t="shared" ref="M51:N57" si="6">B51+D51+F51+H51+K51</f>
        <v>11751.142857142857</v>
      </c>
      <c r="N51" s="124">
        <f t="shared" si="6"/>
        <v>11212.136252</v>
      </c>
    </row>
    <row r="52" spans="1:36" s="11" customFormat="1" ht="17.649999999999999" customHeight="1" x14ac:dyDescent="0.3">
      <c r="A52" s="122" t="s">
        <v>45</v>
      </c>
      <c r="B52" s="124">
        <f t="shared" si="1"/>
        <v>2300.5714285714284</v>
      </c>
      <c r="C52" s="124">
        <f>ROUND(B52*[2]Manual_Input!K57,6)</f>
        <v>2144.1151869999999</v>
      </c>
      <c r="D52" s="124">
        <f t="shared" si="2"/>
        <v>5618.2857142857147</v>
      </c>
      <c r="E52" s="124">
        <f>ROUND(D52*[2]Manual_Input!K57,6)</f>
        <v>5236.1998309999999</v>
      </c>
      <c r="F52" s="124">
        <f t="shared" si="3"/>
        <v>1033.4285714285713</v>
      </c>
      <c r="G52" s="124">
        <f>ROUND(F52*[2]Manual_Input!K57,6)</f>
        <v>963.14761899999996</v>
      </c>
      <c r="H52" s="124">
        <f t="shared" si="4"/>
        <v>1.8571428571428572</v>
      </c>
      <c r="I52" s="124">
        <f>ROUND(H52*[2]Manual_Input!K57,6)</f>
        <v>1.7308429999999999</v>
      </c>
      <c r="J52" s="130"/>
      <c r="K52" s="124">
        <f t="shared" si="5"/>
        <v>2797</v>
      </c>
      <c r="L52" s="124">
        <f>ROUND(K52*[2]Manual_Input!K57,6)</f>
        <v>2606.7828650000001</v>
      </c>
      <c r="M52" s="124">
        <f t="shared" si="6"/>
        <v>11751.142857142857</v>
      </c>
      <c r="N52" s="124">
        <f t="shared" si="6"/>
        <v>10951.976344999999</v>
      </c>
    </row>
    <row r="53" spans="1:36" s="11" customFormat="1" ht="17.649999999999999" customHeight="1" x14ac:dyDescent="0.3">
      <c r="A53" s="122" t="s">
        <v>46</v>
      </c>
      <c r="B53" s="124">
        <f t="shared" si="1"/>
        <v>2300.5714285714284</v>
      </c>
      <c r="C53" s="124">
        <f>ROUND(B53*[2]Manual_Input!K58,6)</f>
        <v>2094.3643820000002</v>
      </c>
      <c r="D53" s="124">
        <f t="shared" si="2"/>
        <v>5618.2857142857147</v>
      </c>
      <c r="E53" s="124">
        <f>ROUND(D53*[2]Manual_Input!K58,6)</f>
        <v>5114.702088</v>
      </c>
      <c r="F53" s="124">
        <f t="shared" si="3"/>
        <v>1033.4285714285713</v>
      </c>
      <c r="G53" s="124">
        <f>ROUND(F53*[2]Manual_Input!K58,6)</f>
        <v>940.79930100000001</v>
      </c>
      <c r="H53" s="124">
        <f t="shared" si="4"/>
        <v>1.8571428571428572</v>
      </c>
      <c r="I53" s="124">
        <f>ROUND(H53*[2]Manual_Input!K58,6)</f>
        <v>1.690682</v>
      </c>
      <c r="J53" s="130"/>
      <c r="K53" s="124">
        <f t="shared" si="5"/>
        <v>2797</v>
      </c>
      <c r="L53" s="124">
        <f>ROUND(K53*[2]Manual_Input!K58,6)</f>
        <v>2546.2965869999998</v>
      </c>
      <c r="M53" s="124">
        <f t="shared" si="6"/>
        <v>11751.142857142857</v>
      </c>
      <c r="N53" s="124">
        <f t="shared" si="6"/>
        <v>10697.85304</v>
      </c>
    </row>
    <row r="54" spans="1:36" s="11" customFormat="1" ht="17.649999999999999" customHeight="1" x14ac:dyDescent="0.3">
      <c r="A54" s="122" t="s">
        <v>47</v>
      </c>
      <c r="B54" s="124">
        <f t="shared" si="1"/>
        <v>2300.5714285714284</v>
      </c>
      <c r="C54" s="124">
        <f>ROUND(B54*[2]Manual_Input!K59,6)</f>
        <v>2045.7679659999999</v>
      </c>
      <c r="D54" s="124">
        <f t="shared" si="2"/>
        <v>5618.2857142857147</v>
      </c>
      <c r="E54" s="124">
        <f>ROUND(D54*[2]Manual_Input!K59,6)</f>
        <v>4996.0235069999999</v>
      </c>
      <c r="F54" s="124">
        <f t="shared" si="3"/>
        <v>1033.4285714285713</v>
      </c>
      <c r="G54" s="124">
        <f>ROUND(F54*[2]Manual_Input!K59,6)</f>
        <v>918.96954000000005</v>
      </c>
      <c r="H54" s="124">
        <f t="shared" si="4"/>
        <v>1.8571428571428572</v>
      </c>
      <c r="I54" s="124">
        <f>ROUND(H54*[2]Manual_Input!K59,6)</f>
        <v>1.6514519999999999</v>
      </c>
      <c r="J54" s="130"/>
      <c r="K54" s="124">
        <f t="shared" si="5"/>
        <v>2797</v>
      </c>
      <c r="L54" s="124">
        <f>ROUND(K54*[2]Manual_Input!K59,6)</f>
        <v>2487.2137980000002</v>
      </c>
      <c r="M54" s="124">
        <f t="shared" si="6"/>
        <v>11751.142857142857</v>
      </c>
      <c r="N54" s="124">
        <f t="shared" si="6"/>
        <v>10449.626263</v>
      </c>
    </row>
    <row r="55" spans="1:36" s="11" customFormat="1" ht="17.649999999999999" customHeight="1" x14ac:dyDescent="0.3">
      <c r="A55" s="122" t="s">
        <v>48</v>
      </c>
      <c r="B55" s="124">
        <f t="shared" si="1"/>
        <v>2300.5714285714284</v>
      </c>
      <c r="C55" s="124">
        <f>ROUND(B55*[2]Manual_Input!K60,6)</f>
        <v>1998.2991529999999</v>
      </c>
      <c r="D55" s="124">
        <f t="shared" si="2"/>
        <v>5618.2857142857147</v>
      </c>
      <c r="E55" s="124">
        <f>ROUND(D55*[2]Manual_Input!K60,6)</f>
        <v>4880.0986750000002</v>
      </c>
      <c r="F55" s="124">
        <f t="shared" si="3"/>
        <v>1033.4285714285713</v>
      </c>
      <c r="G55" s="124">
        <f>ROUND(F55*[2]Manual_Input!K60,6)</f>
        <v>897.64630299999999</v>
      </c>
      <c r="H55" s="124">
        <f t="shared" si="4"/>
        <v>1.8571428571428572</v>
      </c>
      <c r="I55" s="124">
        <f>ROUND(H55*[2]Manual_Input!K60,6)</f>
        <v>1.6131329999999999</v>
      </c>
      <c r="J55" s="130"/>
      <c r="K55" s="124">
        <f t="shared" si="5"/>
        <v>2797</v>
      </c>
      <c r="L55" s="124">
        <f>ROUND(K55*[2]Manual_Input!K60,6)</f>
        <v>2429.5019320000001</v>
      </c>
      <c r="M55" s="124">
        <f t="shared" si="6"/>
        <v>11751.142857142857</v>
      </c>
      <c r="N55" s="124">
        <f t="shared" si="6"/>
        <v>10207.159196000001</v>
      </c>
    </row>
    <row r="56" spans="1:36" s="11" customFormat="1" ht="17.649999999999999" customHeight="1" x14ac:dyDescent="0.3">
      <c r="A56" s="122" t="s">
        <v>49</v>
      </c>
      <c r="B56" s="124">
        <f t="shared" si="1"/>
        <v>2300.5714285714284</v>
      </c>
      <c r="C56" s="124">
        <f>ROUND(B56*[2]Manual_Input!K61,6)</f>
        <v>1951.9317779999999</v>
      </c>
      <c r="D56" s="124">
        <f t="shared" si="2"/>
        <v>5618.2857142857147</v>
      </c>
      <c r="E56" s="124">
        <f>ROUND(D56*[2]Manual_Input!K61,6)</f>
        <v>4766.8636960000003</v>
      </c>
      <c r="F56" s="124">
        <f t="shared" si="3"/>
        <v>1033.4285714285713</v>
      </c>
      <c r="G56" s="124">
        <f>ROUND(F56*[2]Manual_Input!K61,6)</f>
        <v>876.81783900000005</v>
      </c>
      <c r="H56" s="124">
        <f t="shared" si="4"/>
        <v>1.8571428571428572</v>
      </c>
      <c r="I56" s="124">
        <f>ROUND(H56*[2]Manual_Input!K61,6)</f>
        <v>1.5757030000000001</v>
      </c>
      <c r="J56" s="130"/>
      <c r="K56" s="124">
        <f t="shared" si="5"/>
        <v>2797</v>
      </c>
      <c r="L56" s="124">
        <f>ROUND(K56*[2]Manual_Input!K61,6)</f>
        <v>2373.1291780000001</v>
      </c>
      <c r="M56" s="124">
        <f t="shared" si="6"/>
        <v>11751.142857142857</v>
      </c>
      <c r="N56" s="124">
        <f t="shared" si="6"/>
        <v>9970.3181940000013</v>
      </c>
    </row>
    <row r="57" spans="1:36" s="11" customFormat="1" ht="17.649999999999999" customHeight="1" thickBot="1" x14ac:dyDescent="0.35">
      <c r="A57" s="122" t="s">
        <v>50</v>
      </c>
      <c r="B57" s="124">
        <f>+B$59</f>
        <v>2300.5714285714284</v>
      </c>
      <c r="C57" s="124">
        <f>ROUND(B57*[2]Manual_Input!K62,6)</f>
        <v>1906.6402849999999</v>
      </c>
      <c r="D57" s="124">
        <f>+D$59</f>
        <v>5618.2857142857147</v>
      </c>
      <c r="E57" s="124">
        <f>ROUND(D57*[2]Manual_Input!K62,6)</f>
        <v>4656.2561560000004</v>
      </c>
      <c r="F57" s="124">
        <f>+F$59</f>
        <v>1033.4285714285713</v>
      </c>
      <c r="G57" s="124">
        <f>ROUND(F57*[2]Manual_Input!K62,6)</f>
        <v>856.472667</v>
      </c>
      <c r="H57" s="124">
        <f>+H$59</f>
        <v>1.8571428571428572</v>
      </c>
      <c r="I57" s="124">
        <f>ROUND(H57*[2]Manual_Input!K62,6)</f>
        <v>1.5391410000000001</v>
      </c>
      <c r="J57" s="130"/>
      <c r="K57" s="124">
        <f>+K$59</f>
        <v>2797</v>
      </c>
      <c r="L57" s="124">
        <f>ROUND(K57*[2]Manual_Input!K62,6)</f>
        <v>2318.0644649999999</v>
      </c>
      <c r="M57" s="124">
        <f t="shared" si="6"/>
        <v>11751.142857142857</v>
      </c>
      <c r="N57" s="124">
        <f t="shared" si="6"/>
        <v>9738.9727140000014</v>
      </c>
    </row>
    <row r="58" spans="1:36" s="11" customFormat="1" ht="17.649999999999999" customHeight="1" x14ac:dyDescent="0.3">
      <c r="A58" s="122" t="s">
        <v>51</v>
      </c>
      <c r="B58" s="133">
        <f t="shared" ref="B58:I58" si="7">SUM(B8:B57)</f>
        <v>108133.14285714291</v>
      </c>
      <c r="C58" s="133">
        <f t="shared" si="7"/>
        <v>16583.356857999999</v>
      </c>
      <c r="D58" s="133">
        <f t="shared" si="7"/>
        <v>276102.57142857148</v>
      </c>
      <c r="E58" s="133">
        <f t="shared" si="7"/>
        <v>40498.649930000007</v>
      </c>
      <c r="F58" s="133">
        <f t="shared" si="7"/>
        <v>50083.857142857152</v>
      </c>
      <c r="G58" s="133">
        <f t="shared" si="7"/>
        <v>7449.3295769999995</v>
      </c>
      <c r="H58" s="133">
        <f t="shared" si="7"/>
        <v>269.71428571428555</v>
      </c>
      <c r="I58" s="133">
        <f t="shared" si="7"/>
        <v>13.386964000000001</v>
      </c>
      <c r="J58" s="133"/>
      <c r="K58" s="133">
        <f>SUM(K8:K57)</f>
        <v>199434</v>
      </c>
      <c r="L58" s="133">
        <f>SUM(L8:L57)</f>
        <v>20161.794828999999</v>
      </c>
      <c r="M58" s="133">
        <f>SUM(M8:M57)</f>
        <v>634023.28571428556</v>
      </c>
      <c r="N58" s="133">
        <f>SUM(N8:N57)</f>
        <v>84706.518158000006</v>
      </c>
    </row>
    <row r="59" spans="1:36" s="11" customFormat="1" ht="17.649999999999999" customHeight="1" x14ac:dyDescent="0.3">
      <c r="A59" s="122" t="s">
        <v>72</v>
      </c>
      <c r="B59" s="124">
        <f>AVERAGE(B42:B48)</f>
        <v>2300.5714285714284</v>
      </c>
      <c r="C59" s="124"/>
      <c r="D59" s="124">
        <f>AVERAGE(D42:D48)</f>
        <v>5618.2857142857147</v>
      </c>
      <c r="E59" s="124"/>
      <c r="F59" s="124">
        <f>AVERAGE(F42:F48)</f>
        <v>1033.4285714285713</v>
      </c>
      <c r="G59" s="124"/>
      <c r="H59" s="124">
        <f>AVERAGE(H42:H48)</f>
        <v>1.8571428571428572</v>
      </c>
      <c r="I59" s="124"/>
      <c r="J59" s="130"/>
      <c r="K59" s="124">
        <f>AVERAGE(K42:K48)</f>
        <v>2797</v>
      </c>
      <c r="L59" s="124"/>
      <c r="M59" s="124">
        <f>B59+D59+F59+H59+K59</f>
        <v>11751.142857142857</v>
      </c>
      <c r="N59" s="124"/>
      <c r="AF59" s="11">
        <f>AF58/17</f>
        <v>0</v>
      </c>
      <c r="AJ59" s="11">
        <f>AJ58/17</f>
        <v>0</v>
      </c>
    </row>
    <row r="60" spans="1:36" ht="17.649999999999999" customHeight="1" x14ac:dyDescent="0.3">
      <c r="A60" s="122" t="s">
        <v>53</v>
      </c>
      <c r="B60" s="125">
        <f>+SUM(B50:B57)</f>
        <v>18404.571428571424</v>
      </c>
      <c r="C60" s="125">
        <f t="shared" ref="C60:N60" si="8">+SUM(C50:C57)</f>
        <v>16583.356857999999</v>
      </c>
      <c r="D60" s="125">
        <f t="shared" si="8"/>
        <v>44946.285714285725</v>
      </c>
      <c r="E60" s="125">
        <f t="shared" si="8"/>
        <v>40498.649930000007</v>
      </c>
      <c r="F60" s="125">
        <f t="shared" si="8"/>
        <v>8267.4285714285706</v>
      </c>
      <c r="G60" s="125">
        <f t="shared" si="8"/>
        <v>7449.3295769999995</v>
      </c>
      <c r="H60" s="125">
        <f t="shared" si="8"/>
        <v>14.857142857142859</v>
      </c>
      <c r="I60" s="125">
        <f t="shared" si="8"/>
        <v>13.386964000000001</v>
      </c>
      <c r="J60" s="125">
        <f t="shared" si="8"/>
        <v>0</v>
      </c>
      <c r="K60" s="125">
        <f t="shared" si="8"/>
        <v>22376</v>
      </c>
      <c r="L60" s="125">
        <f t="shared" si="8"/>
        <v>20161.794828999999</v>
      </c>
      <c r="M60" s="125">
        <f t="shared" si="8"/>
        <v>94009.142857142855</v>
      </c>
      <c r="N60" s="125">
        <f t="shared" si="8"/>
        <v>84706.518158000006</v>
      </c>
    </row>
    <row r="61" spans="1:36" x14ac:dyDescent="0.2">
      <c r="A61" s="17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36" x14ac:dyDescent="0.2">
      <c r="A62" s="1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36" x14ac:dyDescent="0.2">
      <c r="A63" s="17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36" ht="23.25" customHeight="1" x14ac:dyDescent="0.2">
      <c r="A64" s="17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</sheetData>
  <printOptions horizontalCentered="1"/>
  <pageMargins left="0" right="0" top="0" bottom="0.25" header="0" footer="0.25"/>
  <pageSetup scale="43" orientation="landscape" r:id="rId1"/>
  <headerFooter>
    <oddFooter>&amp;RSchedule A-13
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PAGE_1</vt:lpstr>
      <vt:lpstr>PAGE_2</vt:lpstr>
      <vt:lpstr>PAGE_3</vt:lpstr>
      <vt:lpstr>PAGE_4</vt:lpstr>
      <vt:lpstr>PAGE_5</vt:lpstr>
      <vt:lpstr>PAGE_6</vt:lpstr>
      <vt:lpstr>PAGE_7</vt:lpstr>
      <vt:lpstr>PAGE_8</vt:lpstr>
      <vt:lpstr>PAGE_9</vt:lpstr>
      <vt:lpstr>PAGE_10</vt:lpstr>
      <vt:lpstr>PAGE_11</vt:lpstr>
      <vt:lpstr>PAGE_12</vt:lpstr>
      <vt:lpstr>PAGE_13</vt:lpstr>
      <vt:lpstr>PAGE_14</vt:lpstr>
      <vt:lpstr>PAGE_15</vt:lpstr>
      <vt:lpstr>PAGE_16</vt:lpstr>
      <vt:lpstr>PAGE_1!Print_Area</vt:lpstr>
      <vt:lpstr>PAGE_10!Print_Area</vt:lpstr>
      <vt:lpstr>PAGE_11!Print_Area</vt:lpstr>
      <vt:lpstr>PAGE_12!Print_Area</vt:lpstr>
      <vt:lpstr>PAGE_13!Print_Area</vt:lpstr>
      <vt:lpstr>PAGE_14!Print_Area</vt:lpstr>
      <vt:lpstr>PAGE_15!Print_Area</vt:lpstr>
      <vt:lpstr>PAGE_16!Print_Area</vt:lpstr>
      <vt:lpstr>PAGE_2!Print_Area</vt:lpstr>
      <vt:lpstr>PAGE_3!Print_Area</vt:lpstr>
      <vt:lpstr>PAGE_4!Print_Area</vt:lpstr>
      <vt:lpstr>PAGE_5!Print_Area</vt:lpstr>
      <vt:lpstr>PAGE_6!Print_Area</vt:lpstr>
      <vt:lpstr>PAGE_7!Print_Area</vt:lpstr>
      <vt:lpstr>PAGE_8!Print_Area</vt:lpstr>
      <vt:lpstr>PAGE_9!Print_Area</vt:lpstr>
      <vt:lpstr>TEXTC</vt:lpstr>
      <vt:lpstr>TEXTD</vt:lpstr>
      <vt:lpstr>TEXTE</vt:lpstr>
      <vt:lpstr>TEXTF</vt:lpstr>
      <vt:lpstr>TEXTG</vt:lpstr>
      <vt:lpstr>TEXTH</vt:lpstr>
      <vt:lpstr>TEXTI</vt:lpstr>
      <vt:lpstr>TEXTJ</vt:lpstr>
      <vt:lpstr>TEXTK</vt:lpstr>
      <vt:lpstr>TEXTL</vt:lpstr>
      <vt:lpstr>TEXTM</vt:lpstr>
      <vt:lpstr>TEXTN</vt:lpstr>
      <vt:lpstr>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2023, Schedule A-13</dc:title>
  <dc:creator>Hawkins, Travis Aaron</dc:creator>
  <cp:lastModifiedBy>Savignano, Diana L</cp:lastModifiedBy>
  <cp:lastPrinted>2022-09-27T16:16:11Z</cp:lastPrinted>
  <dcterms:created xsi:type="dcterms:W3CDTF">2022-09-27T03:43:56Z</dcterms:created>
  <dcterms:modified xsi:type="dcterms:W3CDTF">2022-09-29T23:43:22Z</dcterms:modified>
</cp:coreProperties>
</file>