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trlProps/ctrlProp2.xml" ContentType="application/vnd.ms-excel.controlproperties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trlProps/ctrlProp3.xml" ContentType="application/vnd.ms-excel.controlproperties+xml"/>
  <Override PartName="/xl/tables/table4.xml" ContentType="application/vnd.openxmlformats-officedocument.spreadsheetml.table+xml"/>
  <Override PartName="/xl/drawings/drawing4.xml" ContentType="application/vnd.openxmlformats-officedocument.drawing+xml"/>
  <Override PartName="/xl/ctrlProps/ctrlProp4.xml" ContentType="application/vnd.ms-excel.controlproperties+xml"/>
  <Override PartName="/xl/tables/table5.xml" ContentType="application/vnd.openxmlformats-officedocument.spreadsheetml.table+xml"/>
  <Override PartName="/xl/drawings/drawing5.xml" ContentType="application/vnd.openxmlformats-officedocument.drawing+xml"/>
  <Override PartName="/xl/ctrlProps/ctrlProp5.xml" ContentType="application/vnd.ms-excel.controlproperties+xml"/>
  <Override PartName="/xl/tables/table6.xml" ContentType="application/vnd.openxmlformats-officedocument.spreadsheetml.table+xml"/>
  <Override PartName="/xl/drawings/drawing6.xml" ContentType="application/vnd.openxmlformats-officedocument.drawing+xml"/>
  <Override PartName="/xl/ctrlProps/ctrlProp6.xml" ContentType="application/vnd.ms-excel.controlproperties+xml"/>
  <Override PartName="/xl/tables/table7.xml" ContentType="application/vnd.openxmlformats-officedocument.spreadsheetml.table+xml"/>
  <Override PartName="/xl/drawings/drawing7.xml" ContentType="application/vnd.openxmlformats-officedocument.drawing+xml"/>
  <Override PartName="/xl/ctrlProps/ctrlProp7.xml" ContentType="application/vnd.ms-excel.controlproperties+xml"/>
  <Override PartName="/xl/tables/table8.xml" ContentType="application/vnd.openxmlformats-officedocument.spreadsheetml.table+xml"/>
  <Override PartName="/xl/drawings/drawing8.xml" ContentType="application/vnd.openxmlformats-officedocument.drawing+xml"/>
  <Override PartName="/xl/ctrlProps/ctrlProp8.xml" ContentType="application/vnd.ms-excel.controlproperties+xml"/>
  <Override PartName="/xl/tables/table9.xml" ContentType="application/vnd.openxmlformats-officedocument.spreadsheetml.table+xml"/>
  <Override PartName="/xl/drawings/drawing9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tables/table10.xml" ContentType="application/vnd.openxmlformats-officedocument.spreadsheetml.table+xml"/>
  <Override PartName="/xl/drawings/drawing10.xml" ContentType="application/vnd.openxmlformats-officedocument.drawing+xml"/>
  <Override PartName="/xl/ctrlProps/ctrlProp11.xml" ContentType="application/vnd.ms-excel.controlproperties+xml"/>
  <Override PartName="/xl/tables/table11.xml" ContentType="application/vnd.openxmlformats-officedocument.spreadsheetml.table+xml"/>
  <Override PartName="/xl/drawings/drawing11.xml" ContentType="application/vnd.openxmlformats-officedocument.drawing+xml"/>
  <Override PartName="/xl/ctrlProps/ctrlProp12.xml" ContentType="application/vnd.ms-excel.controlproperties+xml"/>
  <Override PartName="/xl/tables/table12.xml" ContentType="application/vnd.openxmlformats-officedocument.spreadsheetml.table+xml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tables/table13.xml" ContentType="application/vnd.openxmlformats-officedocument.spreadsheetml.table+xml"/>
  <Override PartName="/xl/drawings/drawing13.xml" ContentType="application/vnd.openxmlformats-officedocument.drawing+xml"/>
  <Override PartName="/xl/ctrlProps/ctrlProp15.xml" ContentType="application/vnd.ms-excel.controlproperties+xml"/>
  <Override PartName="/xl/tables/table14.xml" ContentType="application/vnd.openxmlformats-officedocument.spreadsheetml.table+xml"/>
  <Override PartName="/xl/drawings/drawing14.xml" ContentType="application/vnd.openxmlformats-officedocument.drawing+xml"/>
  <Override PartName="/xl/ctrlProps/ctrlProp16.xml" ContentType="application/vnd.ms-excel.controlproperties+xml"/>
  <Override PartName="/xl/tables/table15.xml" ContentType="application/vnd.openxmlformats-officedocument.spreadsheetml.table+xml"/>
  <Override PartName="/xl/drawings/drawing15.xml" ContentType="application/vnd.openxmlformats-officedocument.drawing+xml"/>
  <Override PartName="/xl/ctrlProps/ctrlProp17.xml" ContentType="application/vnd.ms-excel.controlproperties+xml"/>
  <Override PartName="/xl/tables/table16.xml" ContentType="application/vnd.openxmlformats-officedocument.spreadsheetml.table+xml"/>
  <Override PartName="/xl/drawings/drawing16.xml" ContentType="application/vnd.openxmlformats-officedocument.drawing+xml"/>
  <Override PartName="/xl/ctrlProps/ctrlProp18.xml" ContentType="application/vnd.ms-excel.controlproperties+xml"/>
  <Override PartName="/xl/tables/table17.xml" ContentType="application/vnd.openxmlformats-officedocument.spreadsheetml.table+xml"/>
  <Override PartName="/xl/drawings/drawing17.xml" ContentType="application/vnd.openxmlformats-officedocument.drawing+xml"/>
  <Override PartName="/xl/ctrlProps/ctrlProp19.xml" ContentType="application/vnd.ms-excel.controlproperties+xml"/>
  <Override PartName="/xl/tables/table18.xml" ContentType="application/vnd.openxmlformats-officedocument.spreadsheetml.table+xml"/>
  <Override PartName="/xl/drawings/drawing18.xml" ContentType="application/vnd.openxmlformats-officedocument.drawing+xml"/>
  <Override PartName="/xl/ctrlProps/ctrlProp20.xml" ContentType="application/vnd.ms-excel.controlproperties+xml"/>
  <Override PartName="/xl/tables/table19.xml" ContentType="application/vnd.openxmlformats-officedocument.spreadsheetml.table+xml"/>
  <Override PartName="/xl/drawings/drawing19.xml" ContentType="application/vnd.openxmlformats-officedocument.drawing+xml"/>
  <Override PartName="/xl/ctrlProps/ctrlProp21.xml" ContentType="application/vnd.ms-excel.controlproperties+xml"/>
  <Override PartName="/xl/tables/table20.xml" ContentType="application/vnd.openxmlformats-officedocument.spreadsheetml.table+xml"/>
  <Override PartName="/xl/drawings/drawing20.xml" ContentType="application/vnd.openxmlformats-officedocument.drawing+xml"/>
  <Override PartName="/xl/ctrlProps/ctrlProp22.xml" ContentType="application/vnd.ms-excel.controlproperties+xml"/>
  <Override PartName="/xl/tables/table21.xml" ContentType="application/vnd.openxmlformats-officedocument.spreadsheetml.table+xml"/>
  <Override PartName="/xl/drawings/drawing21.xml" ContentType="application/vnd.openxmlformats-officedocument.drawing+xml"/>
  <Override PartName="/xl/ctrlProps/ctrlProp23.xml" ContentType="application/vnd.ms-excel.controlproperties+xml"/>
  <Override PartName="/xl/tables/table22.xml" ContentType="application/vnd.openxmlformats-officedocument.spreadsheetml.table+xml"/>
  <Override PartName="/xl/drawings/drawing22.xml" ContentType="application/vnd.openxmlformats-officedocument.drawing+xml"/>
  <Override PartName="/xl/ctrlProps/ctrlProp24.xml" ContentType="application/vnd.ms-excel.controlproperties+xml"/>
  <Override PartName="/xl/tables/table23.xml" ContentType="application/vnd.openxmlformats-officedocument.spreadsheetml.table+xml"/>
  <Override PartName="/xl/drawings/drawing23.xml" ContentType="application/vnd.openxmlformats-officedocument.drawing+xml"/>
  <Override PartName="/xl/ctrlProps/ctrlProp25.xml" ContentType="application/vnd.ms-excel.controlproperties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omments2.xml" ContentType="application/vnd.openxmlformats-officedocument.spreadsheetml.comments+xml"/>
  <Override PartName="/xl/drawings/drawing24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tables/table26.xml" ContentType="application/vnd.openxmlformats-officedocument.spreadsheetml.table+xml"/>
  <Override PartName="/xl/drawings/drawing25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tables/table27.xml" ContentType="application/vnd.openxmlformats-officedocument.spreadsheetml.table+xml"/>
  <Override PartName="/xl/drawings/drawing26.xml" ContentType="application/vnd.openxmlformats-officedocument.drawing+xml"/>
  <Override PartName="/xl/ctrlProps/ctrlProp30.xml" ContentType="application/vnd.ms-excel.controlproperties+xml"/>
  <Override PartName="/xl/tables/table2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J:\cvpwaterrates\ratebooks\irrigation\2023\"/>
    </mc:Choice>
  </mc:AlternateContent>
  <xr:revisionPtr revIDLastSave="0" documentId="13_ncr:1_{FD83DFB7-8558-4A5B-8085-04A44537A947}" xr6:coauthVersionLast="47" xr6:coauthVersionMax="47" xr10:uidLastSave="{00000000-0000-0000-0000-000000000000}"/>
  <bookViews>
    <workbookView xWindow="-110" yWindow="-110" windowWidth="19420" windowHeight="10420" activeTab="9" xr2:uid="{F72E2CF4-541B-40D7-9CB5-785B03341416}"/>
  </bookViews>
  <sheets>
    <sheet name="Page_1" sheetId="1" r:id="rId1"/>
    <sheet name="Page_2" sheetId="2" r:id="rId2"/>
    <sheet name="Page_3" sheetId="3" r:id="rId3"/>
    <sheet name="Page_4" sheetId="4" r:id="rId4"/>
    <sheet name="Page_5" sheetId="5" r:id="rId5"/>
    <sheet name="Page_6" sheetId="6" r:id="rId6"/>
    <sheet name="Page_7" sheetId="7" r:id="rId7"/>
    <sheet name="Page_8" sheetId="8" r:id="rId8"/>
    <sheet name="Page_9" sheetId="9" r:id="rId9"/>
    <sheet name="Page_10" sheetId="10" r:id="rId10"/>
    <sheet name="Page_11" sheetId="11" r:id="rId11"/>
    <sheet name="Page_12" sheetId="12" r:id="rId12"/>
    <sheet name="Page_13" sheetId="13" r:id="rId13"/>
    <sheet name="Page_14" sheetId="14" r:id="rId14"/>
    <sheet name="Page_15" sheetId="15" r:id="rId15"/>
    <sheet name="Page_16" sheetId="16" r:id="rId16"/>
    <sheet name="Page_17" sheetId="17" r:id="rId17"/>
    <sheet name="Page_18" sheetId="18" r:id="rId18"/>
    <sheet name="Page_19" sheetId="19" r:id="rId19"/>
    <sheet name="Page_20" sheetId="20" r:id="rId20"/>
    <sheet name="Page_21" sheetId="21" r:id="rId21"/>
    <sheet name="Page_22" sheetId="22" r:id="rId22"/>
    <sheet name="Page_23" sheetId="23" r:id="rId23"/>
    <sheet name="Page_24" sheetId="24" r:id="rId24"/>
    <sheet name="Page_25" sheetId="25" r:id="rId25"/>
    <sheet name="Page_26" sheetId="26" r:id="rId26"/>
    <sheet name="Page_27" sheetId="27" r:id="rId27"/>
    <sheet name="Page_28" sheetId="28" r:id="rId28"/>
  </sheets>
  <externalReferences>
    <externalReference r:id="rId29"/>
  </externalReferences>
  <definedNames>
    <definedName name="_xlnm._FilterDatabase" localSheetId="23" hidden="1">Page_24!$I$6:$I$6</definedName>
    <definedName name="_Key1" localSheetId="26" hidden="1">#REF!</definedName>
    <definedName name="_Key1" hidden="1">#REF!</definedName>
    <definedName name="_Order1" hidden="1">255</definedName>
    <definedName name="_Sort" localSheetId="26" hidden="1">#REF!</definedName>
    <definedName name="_Sort" hidden="1">#REF!</definedName>
    <definedName name="_xlnm.Print_Area" localSheetId="0">Page_1!$A$1:$B$30</definedName>
    <definedName name="_xlnm.Print_Area" localSheetId="9">Page_10!$A$1:$J$59</definedName>
    <definedName name="_xlnm.Print_Area" localSheetId="10">Page_11!$A$1:$H$59</definedName>
    <definedName name="_xlnm.Print_Area" localSheetId="11">Page_12!$A$1:$S$63</definedName>
    <definedName name="_xlnm.Print_Area" localSheetId="12">Page_13!$A$1:$I$59</definedName>
    <definedName name="_xlnm.Print_Area" localSheetId="13">Page_14!$A$1:$J$59</definedName>
    <definedName name="_xlnm.Print_Area" localSheetId="14">Page_15!$A$1:$K$59</definedName>
    <definedName name="_xlnm.Print_Area" localSheetId="15">Page_16!$A$1:$CX$59</definedName>
    <definedName name="_xlnm.Print_Area" localSheetId="16">Page_17!$A$1:$H$59</definedName>
    <definedName name="_xlnm.Print_Area" localSheetId="17">Page_18!$A$1:$J$63</definedName>
    <definedName name="_xlnm.Print_Area" localSheetId="18">Page_19!$A$1:$J$59</definedName>
    <definedName name="_xlnm.Print_Area" localSheetId="1">Page_2!$A$1:$G$59</definedName>
    <definedName name="_xlnm.Print_Area" localSheetId="19">Page_20!$A$1:$E$59</definedName>
    <definedName name="_xlnm.Print_Area" localSheetId="20">Page_21!$A$1:$H$59</definedName>
    <definedName name="_xlnm.Print_Area" localSheetId="21">Page_22!$A$1:$I$60</definedName>
    <definedName name="_xlnm.Print_Area" localSheetId="22">Page_23!$A$1:$I$59</definedName>
    <definedName name="_xlnm.Print_Area" localSheetId="23">Page_24!$A$1:$I$60</definedName>
    <definedName name="_xlnm.Print_Area" localSheetId="24">Page_25!$A$1:$H$62</definedName>
    <definedName name="_xlnm.Print_Area" localSheetId="25">Page_26!$A$1:$H$58</definedName>
    <definedName name="_xlnm.Print_Area" localSheetId="26">Page_27!$A$1:$E$58</definedName>
    <definedName name="_xlnm.Print_Area" localSheetId="27">Page_28!$A$1:$D$29</definedName>
    <definedName name="_xlnm.Print_Area" localSheetId="2">Page_3!$A$1:$I$59</definedName>
    <definedName name="_xlnm.Print_Area" localSheetId="3">Page_4!$A$1:$I$59</definedName>
    <definedName name="_xlnm.Print_Area" localSheetId="4">Page_5!$A$1:$I$59</definedName>
    <definedName name="_xlnm.Print_Area" localSheetId="5">Page_6!$A$1:$I$59</definedName>
    <definedName name="_xlnm.Print_Area" localSheetId="6">Page_7!$A$1:$H$59</definedName>
    <definedName name="_xlnm.Print_Area" localSheetId="7">Page_8!$A$1:$J$59</definedName>
    <definedName name="_xlnm.Print_Area" localSheetId="8">Page_9!$A$1:$J$59</definedName>
    <definedName name="Print_Area_MI" localSheetId="18">Page_19!$A$1:$I$58</definedName>
    <definedName name="_xlnm.Print_Titles" localSheetId="15">Page_16!$A:$A,Page_16!$1:$6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8" i="9" l="1"/>
  <c r="I56" i="9"/>
  <c r="I55" i="9"/>
  <c r="I54" i="9"/>
  <c r="I53" i="9"/>
  <c r="I52" i="9"/>
  <c r="I51" i="9"/>
  <c r="I50" i="9"/>
  <c r="I49" i="9"/>
  <c r="I48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37" i="9"/>
  <c r="J39" i="9"/>
  <c r="J40" i="9"/>
  <c r="J41" i="9"/>
  <c r="J42" i="9"/>
  <c r="J43" i="9"/>
  <c r="J44" i="9"/>
  <c r="J45" i="9"/>
  <c r="J46" i="9"/>
  <c r="J47" i="9"/>
  <c r="J58" i="9"/>
  <c r="J7" i="9"/>
  <c r="I58" i="9"/>
  <c r="J56" i="9"/>
  <c r="I47" i="9"/>
  <c r="I15" i="9"/>
  <c r="I14" i="9"/>
  <c r="I13" i="9"/>
  <c r="I59" i="9" l="1"/>
  <c r="J54" i="9"/>
  <c r="J50" i="9"/>
  <c r="J52" i="9"/>
  <c r="J53" i="9"/>
  <c r="J48" i="9"/>
  <c r="J49" i="9"/>
  <c r="J55" i="9"/>
  <c r="J51" i="9"/>
  <c r="J59" i="9" l="1"/>
  <c r="I57" i="9"/>
  <c r="J57" i="9" s="1"/>
  <c r="F58" i="24" l="1"/>
  <c r="A5" i="28" l="1"/>
  <c r="A4" i="28"/>
  <c r="A3" i="28"/>
  <c r="A2" i="28"/>
  <c r="A1" i="28"/>
  <c r="Q14" i="12"/>
  <c r="Q11" i="12"/>
  <c r="X39" i="25"/>
  <c r="V39" i="25"/>
  <c r="V38" i="25"/>
  <c r="X37" i="25"/>
  <c r="V37" i="25"/>
  <c r="C37" i="25"/>
  <c r="X36" i="25"/>
  <c r="V36" i="25"/>
  <c r="C36" i="25"/>
  <c r="X35" i="25"/>
  <c r="V35" i="25"/>
  <c r="D35" i="25"/>
  <c r="C35" i="25"/>
  <c r="X34" i="25"/>
  <c r="V34" i="25"/>
  <c r="D34" i="25"/>
  <c r="C34" i="25"/>
  <c r="B34" i="25"/>
  <c r="X33" i="25"/>
  <c r="V33" i="25"/>
  <c r="D33" i="25"/>
  <c r="C33" i="25"/>
  <c r="B33" i="25"/>
  <c r="X32" i="25"/>
  <c r="V32" i="25"/>
  <c r="D32" i="25"/>
  <c r="C32" i="25"/>
  <c r="B32" i="25"/>
  <c r="X31" i="25"/>
  <c r="V31" i="25"/>
  <c r="D31" i="25"/>
  <c r="C31" i="25"/>
  <c r="B31" i="25"/>
  <c r="X30" i="25"/>
  <c r="V30" i="25"/>
  <c r="D30" i="25"/>
  <c r="C30" i="25"/>
  <c r="B30" i="25"/>
  <c r="X29" i="25"/>
  <c r="V29" i="25"/>
  <c r="D29" i="25"/>
  <c r="C29" i="25"/>
  <c r="B29" i="25"/>
  <c r="X28" i="25"/>
  <c r="V28" i="25"/>
  <c r="D28" i="25"/>
  <c r="C28" i="25"/>
  <c r="B28" i="25"/>
  <c r="X27" i="25"/>
  <c r="V27" i="25"/>
  <c r="D27" i="25"/>
  <c r="C27" i="25"/>
  <c r="B27" i="25"/>
  <c r="X26" i="25"/>
  <c r="V26" i="25"/>
  <c r="D26" i="25"/>
  <c r="C26" i="25"/>
  <c r="B26" i="25"/>
  <c r="X25" i="25"/>
  <c r="V25" i="25"/>
  <c r="H25" i="25"/>
  <c r="D25" i="25"/>
  <c r="C25" i="25"/>
  <c r="B25" i="25"/>
  <c r="X24" i="25"/>
  <c r="V24" i="25"/>
  <c r="D24" i="25"/>
  <c r="C24" i="25"/>
  <c r="B24" i="25"/>
  <c r="X23" i="25"/>
  <c r="V23" i="25"/>
  <c r="D23" i="25"/>
  <c r="C23" i="25"/>
  <c r="B23" i="25"/>
  <c r="X22" i="25"/>
  <c r="V22" i="25"/>
  <c r="D22" i="25"/>
  <c r="C22" i="25"/>
  <c r="B22" i="25"/>
  <c r="X21" i="25"/>
  <c r="V21" i="25"/>
  <c r="H21" i="25"/>
  <c r="D21" i="25"/>
  <c r="C21" i="25"/>
  <c r="B21" i="25"/>
  <c r="X20" i="25"/>
  <c r="V20" i="25"/>
  <c r="D20" i="25"/>
  <c r="C20" i="25"/>
  <c r="B20" i="25"/>
  <c r="X19" i="25"/>
  <c r="G19" i="25" s="1"/>
  <c r="V19" i="25"/>
  <c r="H19" i="25"/>
  <c r="D19" i="25"/>
  <c r="C19" i="25"/>
  <c r="B19" i="25"/>
  <c r="X18" i="25"/>
  <c r="V18" i="25"/>
  <c r="D18" i="25"/>
  <c r="C18" i="25"/>
  <c r="B18" i="25"/>
  <c r="X17" i="25"/>
  <c r="V17" i="25"/>
  <c r="D17" i="25"/>
  <c r="C17" i="25"/>
  <c r="B17" i="25"/>
  <c r="X16" i="25"/>
  <c r="V16" i="25"/>
  <c r="D16" i="25"/>
  <c r="C16" i="25"/>
  <c r="B16" i="25"/>
  <c r="X15" i="25"/>
  <c r="V15" i="25"/>
  <c r="D15" i="25"/>
  <c r="C15" i="25"/>
  <c r="B15" i="25"/>
  <c r="X14" i="25"/>
  <c r="V14" i="25"/>
  <c r="D14" i="25"/>
  <c r="C14" i="25"/>
  <c r="B14" i="25"/>
  <c r="X13" i="25"/>
  <c r="V13" i="25"/>
  <c r="D13" i="25"/>
  <c r="C13" i="25"/>
  <c r="B13" i="25"/>
  <c r="X12" i="25"/>
  <c r="V12" i="25"/>
  <c r="D12" i="25"/>
  <c r="C12" i="25"/>
  <c r="B12" i="25"/>
  <c r="V9" i="25"/>
  <c r="R9" i="25"/>
  <c r="N9" i="25"/>
  <c r="H9" i="25"/>
  <c r="H36" i="25" s="1"/>
  <c r="G9" i="25"/>
  <c r="G31" i="25" s="1"/>
  <c r="F9" i="25"/>
  <c r="F31" i="25" s="1"/>
  <c r="E9" i="25"/>
  <c r="E43" i="25" s="1"/>
  <c r="A5" i="25"/>
  <c r="A4" i="25"/>
  <c r="A3" i="25"/>
  <c r="A2" i="25"/>
  <c r="A1" i="25"/>
  <c r="H60" i="24"/>
  <c r="H59" i="24"/>
  <c r="E58" i="24"/>
  <c r="H57" i="24"/>
  <c r="H56" i="24"/>
  <c r="H55" i="24"/>
  <c r="H54" i="24"/>
  <c r="H53" i="24"/>
  <c r="H52" i="24"/>
  <c r="H51" i="24"/>
  <c r="H50" i="24"/>
  <c r="H49" i="24"/>
  <c r="H48" i="24"/>
  <c r="H47" i="24"/>
  <c r="H46" i="24"/>
  <c r="H45" i="24"/>
  <c r="H44" i="24"/>
  <c r="H43" i="24"/>
  <c r="H42" i="24"/>
  <c r="H41" i="24"/>
  <c r="H40" i="24"/>
  <c r="H39" i="24"/>
  <c r="H38" i="24"/>
  <c r="H37" i="24"/>
  <c r="H36" i="24"/>
  <c r="H35" i="24"/>
  <c r="H34" i="24"/>
  <c r="H33" i="24"/>
  <c r="H32" i="24"/>
  <c r="H31" i="24"/>
  <c r="H30" i="24"/>
  <c r="H29" i="24"/>
  <c r="H28" i="24"/>
  <c r="H27" i="24"/>
  <c r="H26" i="24"/>
  <c r="H25" i="24"/>
  <c r="H24" i="24"/>
  <c r="H23" i="24"/>
  <c r="H22" i="24"/>
  <c r="H21" i="24"/>
  <c r="H20" i="24"/>
  <c r="H19" i="24"/>
  <c r="H18" i="24"/>
  <c r="H17" i="24"/>
  <c r="H16" i="24"/>
  <c r="H15" i="24"/>
  <c r="H14" i="24"/>
  <c r="H13" i="24"/>
  <c r="H12" i="24"/>
  <c r="H11" i="24"/>
  <c r="H10" i="24"/>
  <c r="H9" i="24"/>
  <c r="H8" i="24"/>
  <c r="A5" i="24"/>
  <c r="A4" i="24"/>
  <c r="A3" i="24"/>
  <c r="A2" i="24"/>
  <c r="A1" i="24"/>
  <c r="G59" i="23"/>
  <c r="G67" i="23" s="1"/>
  <c r="G58" i="23"/>
  <c r="G56" i="23"/>
  <c r="G55" i="23"/>
  <c r="G54" i="23"/>
  <c r="G53" i="23"/>
  <c r="G52" i="23"/>
  <c r="G51" i="23"/>
  <c r="G50" i="23"/>
  <c r="G49" i="23"/>
  <c r="G48" i="23"/>
  <c r="G47" i="23"/>
  <c r="G46" i="23"/>
  <c r="G45" i="23"/>
  <c r="G44" i="23"/>
  <c r="G43" i="23"/>
  <c r="G42" i="23"/>
  <c r="G41" i="23"/>
  <c r="G40" i="23"/>
  <c r="G39" i="23"/>
  <c r="C39" i="23"/>
  <c r="B39" i="23"/>
  <c r="D39" i="23" s="1"/>
  <c r="G38" i="23"/>
  <c r="C38" i="23"/>
  <c r="B38" i="23"/>
  <c r="D38" i="23" s="1"/>
  <c r="G37" i="23"/>
  <c r="G36" i="23"/>
  <c r="C36" i="23"/>
  <c r="B36" i="23"/>
  <c r="D36" i="23" s="1"/>
  <c r="G35" i="23"/>
  <c r="G34" i="23"/>
  <c r="G33" i="23"/>
  <c r="G32" i="23"/>
  <c r="E32" i="23"/>
  <c r="G31" i="23"/>
  <c r="G30" i="23"/>
  <c r="G29" i="23"/>
  <c r="G28" i="23"/>
  <c r="G27" i="23"/>
  <c r="G26" i="23"/>
  <c r="G25" i="23"/>
  <c r="G24" i="23"/>
  <c r="G23" i="23"/>
  <c r="G22" i="23"/>
  <c r="G21" i="23"/>
  <c r="G20" i="23"/>
  <c r="G19" i="23"/>
  <c r="G18" i="23"/>
  <c r="G17" i="23"/>
  <c r="G16" i="23"/>
  <c r="G15" i="23"/>
  <c r="G14" i="23"/>
  <c r="G13" i="23"/>
  <c r="G12" i="23"/>
  <c r="E12" i="23"/>
  <c r="G11" i="23"/>
  <c r="G10" i="23"/>
  <c r="G9" i="23"/>
  <c r="G8" i="23"/>
  <c r="G7" i="23"/>
  <c r="A4" i="23"/>
  <c r="A3" i="23"/>
  <c r="A2" i="23"/>
  <c r="A1" i="23"/>
  <c r="G60" i="22"/>
  <c r="F60" i="22"/>
  <c r="E60" i="22"/>
  <c r="D60" i="22"/>
  <c r="C60" i="22"/>
  <c r="B60" i="22"/>
  <c r="F59" i="22"/>
  <c r="E59" i="22"/>
  <c r="G59" i="22" s="1"/>
  <c r="D59" i="22"/>
  <c r="C59" i="22"/>
  <c r="B59" i="22"/>
  <c r="G57" i="22"/>
  <c r="F57" i="22"/>
  <c r="E57" i="22"/>
  <c r="D57" i="22"/>
  <c r="C57" i="22"/>
  <c r="B57" i="22"/>
  <c r="G56" i="22"/>
  <c r="F56" i="22"/>
  <c r="E56" i="22"/>
  <c r="D56" i="22"/>
  <c r="C56" i="22"/>
  <c r="B56" i="22"/>
  <c r="G55" i="22"/>
  <c r="F55" i="22"/>
  <c r="E55" i="22"/>
  <c r="D55" i="22"/>
  <c r="C55" i="22"/>
  <c r="B55" i="22"/>
  <c r="F54" i="22"/>
  <c r="E54" i="22"/>
  <c r="G54" i="22" s="1"/>
  <c r="D54" i="22"/>
  <c r="C54" i="22"/>
  <c r="B54" i="22"/>
  <c r="F53" i="22"/>
  <c r="G53" i="22" s="1"/>
  <c r="E53" i="22"/>
  <c r="D53" i="22"/>
  <c r="C53" i="22"/>
  <c r="B53" i="22"/>
  <c r="G52" i="22"/>
  <c r="F52" i="22"/>
  <c r="E52" i="22"/>
  <c r="D52" i="22"/>
  <c r="C52" i="22"/>
  <c r="B52" i="22"/>
  <c r="F51" i="22"/>
  <c r="E51" i="22"/>
  <c r="G51" i="22" s="1"/>
  <c r="D51" i="22"/>
  <c r="C51" i="22"/>
  <c r="B51" i="22"/>
  <c r="G50" i="22"/>
  <c r="F50" i="22"/>
  <c r="E50" i="22"/>
  <c r="D50" i="22"/>
  <c r="C50" i="22"/>
  <c r="B50" i="22"/>
  <c r="F49" i="22"/>
  <c r="E49" i="22"/>
  <c r="G49" i="22" s="1"/>
  <c r="D49" i="22"/>
  <c r="C49" i="22"/>
  <c r="B49" i="22"/>
  <c r="F48" i="22"/>
  <c r="E48" i="22"/>
  <c r="G48" i="22" s="1"/>
  <c r="D48" i="22"/>
  <c r="C48" i="22"/>
  <c r="B48" i="22"/>
  <c r="H47" i="22"/>
  <c r="F47" i="22"/>
  <c r="G47" i="22" s="1"/>
  <c r="E47" i="22"/>
  <c r="D47" i="22"/>
  <c r="C47" i="22"/>
  <c r="B47" i="22"/>
  <c r="H46" i="22"/>
  <c r="F46" i="22"/>
  <c r="E46" i="22"/>
  <c r="G46" i="22" s="1"/>
  <c r="D46" i="22"/>
  <c r="C46" i="22"/>
  <c r="B46" i="22"/>
  <c r="H45" i="22"/>
  <c r="G45" i="22"/>
  <c r="F45" i="22"/>
  <c r="E45" i="22"/>
  <c r="D45" i="22"/>
  <c r="C45" i="22"/>
  <c r="B45" i="22"/>
  <c r="H44" i="22"/>
  <c r="G44" i="22"/>
  <c r="F44" i="22"/>
  <c r="E44" i="22"/>
  <c r="D44" i="22"/>
  <c r="C44" i="22"/>
  <c r="B44" i="22"/>
  <c r="H43" i="22"/>
  <c r="G43" i="22"/>
  <c r="F43" i="22"/>
  <c r="E43" i="22"/>
  <c r="D43" i="22"/>
  <c r="C43" i="22"/>
  <c r="B43" i="22"/>
  <c r="H42" i="22"/>
  <c r="F42" i="22"/>
  <c r="E42" i="22"/>
  <c r="G42" i="22" s="1"/>
  <c r="D42" i="22"/>
  <c r="C42" i="22"/>
  <c r="B42" i="22"/>
  <c r="H41" i="22"/>
  <c r="F41" i="22"/>
  <c r="G41" i="22" s="1"/>
  <c r="E41" i="22"/>
  <c r="D41" i="22"/>
  <c r="C41" i="22"/>
  <c r="B41" i="22"/>
  <c r="H40" i="22"/>
  <c r="G40" i="22"/>
  <c r="F40" i="22"/>
  <c r="E40" i="22"/>
  <c r="D40" i="22"/>
  <c r="C40" i="22"/>
  <c r="B40" i="22"/>
  <c r="H39" i="22"/>
  <c r="F39" i="22"/>
  <c r="E39" i="22"/>
  <c r="G39" i="22" s="1"/>
  <c r="D39" i="22"/>
  <c r="C39" i="22"/>
  <c r="B39" i="22"/>
  <c r="H38" i="22"/>
  <c r="G38" i="22"/>
  <c r="F38" i="22"/>
  <c r="E38" i="22"/>
  <c r="D38" i="22"/>
  <c r="C38" i="22"/>
  <c r="B38" i="22"/>
  <c r="H37" i="22"/>
  <c r="F37" i="22"/>
  <c r="E37" i="22"/>
  <c r="G37" i="22" s="1"/>
  <c r="D37" i="22"/>
  <c r="C37" i="22"/>
  <c r="B37" i="22"/>
  <c r="H36" i="22"/>
  <c r="F36" i="22"/>
  <c r="E36" i="22"/>
  <c r="G36" i="22" s="1"/>
  <c r="D36" i="22"/>
  <c r="C36" i="22"/>
  <c r="B36" i="22"/>
  <c r="H35" i="22"/>
  <c r="F35" i="22"/>
  <c r="G35" i="22" s="1"/>
  <c r="E35" i="22"/>
  <c r="D35" i="22"/>
  <c r="C35" i="22"/>
  <c r="B35" i="22"/>
  <c r="H34" i="22"/>
  <c r="F34" i="22"/>
  <c r="E34" i="22"/>
  <c r="G34" i="22" s="1"/>
  <c r="D34" i="22"/>
  <c r="C34" i="22"/>
  <c r="B34" i="22"/>
  <c r="H33" i="22"/>
  <c r="F33" i="22"/>
  <c r="G33" i="22" s="1"/>
  <c r="E33" i="22"/>
  <c r="D33" i="22"/>
  <c r="C33" i="22"/>
  <c r="B33" i="22"/>
  <c r="H32" i="22"/>
  <c r="G32" i="22"/>
  <c r="F32" i="22"/>
  <c r="E32" i="22"/>
  <c r="D32" i="22"/>
  <c r="C32" i="22"/>
  <c r="B32" i="22"/>
  <c r="H31" i="22"/>
  <c r="G31" i="22"/>
  <c r="F31" i="22"/>
  <c r="E31" i="22"/>
  <c r="D31" i="22"/>
  <c r="C31" i="22"/>
  <c r="B31" i="22"/>
  <c r="H30" i="22"/>
  <c r="F30" i="22"/>
  <c r="E30" i="22"/>
  <c r="G30" i="22" s="1"/>
  <c r="D30" i="22"/>
  <c r="C30" i="22"/>
  <c r="B30" i="22"/>
  <c r="H29" i="22"/>
  <c r="F29" i="22"/>
  <c r="G29" i="22" s="1"/>
  <c r="E29" i="22"/>
  <c r="D29" i="22"/>
  <c r="C29" i="22"/>
  <c r="B29" i="22"/>
  <c r="H28" i="22"/>
  <c r="G28" i="22"/>
  <c r="F28" i="22"/>
  <c r="E28" i="22"/>
  <c r="D28" i="22"/>
  <c r="C28" i="22"/>
  <c r="B28" i="22"/>
  <c r="H27" i="22"/>
  <c r="F27" i="22"/>
  <c r="E27" i="22"/>
  <c r="D27" i="22"/>
  <c r="C27" i="22"/>
  <c r="B27" i="22"/>
  <c r="H26" i="22"/>
  <c r="G26" i="22"/>
  <c r="F26" i="22"/>
  <c r="E26" i="22"/>
  <c r="D26" i="22"/>
  <c r="C26" i="22"/>
  <c r="B26" i="22"/>
  <c r="H25" i="22"/>
  <c r="F25" i="22"/>
  <c r="E25" i="22"/>
  <c r="G25" i="22" s="1"/>
  <c r="D25" i="22"/>
  <c r="C25" i="22"/>
  <c r="B25" i="22"/>
  <c r="H24" i="22"/>
  <c r="F24" i="22"/>
  <c r="E24" i="22"/>
  <c r="G24" i="22" s="1"/>
  <c r="D24" i="22"/>
  <c r="C24" i="22"/>
  <c r="B24" i="22"/>
  <c r="H23" i="22"/>
  <c r="F23" i="22"/>
  <c r="G23" i="22" s="1"/>
  <c r="E23" i="22"/>
  <c r="D23" i="22"/>
  <c r="C23" i="22"/>
  <c r="B23" i="22"/>
  <c r="H22" i="22"/>
  <c r="F22" i="22"/>
  <c r="E22" i="22"/>
  <c r="G22" i="22" s="1"/>
  <c r="D22" i="22"/>
  <c r="C22" i="22"/>
  <c r="B22" i="22"/>
  <c r="H21" i="22"/>
  <c r="F21" i="22"/>
  <c r="G21" i="22" s="1"/>
  <c r="E21" i="22"/>
  <c r="D21" i="22"/>
  <c r="C21" i="22"/>
  <c r="B21" i="22"/>
  <c r="H20" i="22"/>
  <c r="G20" i="22"/>
  <c r="F20" i="22"/>
  <c r="E20" i="22"/>
  <c r="D20" i="22"/>
  <c r="C20" i="22"/>
  <c r="B20" i="22"/>
  <c r="H19" i="22"/>
  <c r="G19" i="22"/>
  <c r="F19" i="22"/>
  <c r="E19" i="22"/>
  <c r="D19" i="22"/>
  <c r="C19" i="22"/>
  <c r="B19" i="22"/>
  <c r="H18" i="22"/>
  <c r="F18" i="22"/>
  <c r="E18" i="22"/>
  <c r="G18" i="22" s="1"/>
  <c r="D18" i="22"/>
  <c r="C18" i="22"/>
  <c r="B18" i="22"/>
  <c r="H17" i="22"/>
  <c r="F17" i="22"/>
  <c r="G17" i="22" s="1"/>
  <c r="E17" i="22"/>
  <c r="D17" i="22"/>
  <c r="C17" i="22"/>
  <c r="B17" i="22"/>
  <c r="H16" i="22"/>
  <c r="G16" i="22"/>
  <c r="F16" i="22"/>
  <c r="E16" i="22"/>
  <c r="D16" i="22"/>
  <c r="C16" i="22"/>
  <c r="B16" i="22"/>
  <c r="H15" i="22"/>
  <c r="F15" i="22"/>
  <c r="E15" i="22"/>
  <c r="D15" i="22"/>
  <c r="C15" i="22"/>
  <c r="B15" i="22"/>
  <c r="H14" i="22"/>
  <c r="G14" i="22"/>
  <c r="F14" i="22"/>
  <c r="E14" i="22"/>
  <c r="D14" i="22"/>
  <c r="C14" i="22"/>
  <c r="B14" i="22"/>
  <c r="H13" i="22"/>
  <c r="F13" i="22"/>
  <c r="E13" i="22"/>
  <c r="G13" i="22" s="1"/>
  <c r="D13" i="22"/>
  <c r="C13" i="22"/>
  <c r="B13" i="22"/>
  <c r="H12" i="22"/>
  <c r="F12" i="22"/>
  <c r="E12" i="22"/>
  <c r="G12" i="22" s="1"/>
  <c r="D12" i="22"/>
  <c r="C12" i="22"/>
  <c r="B12" i="22"/>
  <c r="H11" i="22"/>
  <c r="F11" i="22"/>
  <c r="G11" i="22" s="1"/>
  <c r="E11" i="22"/>
  <c r="D11" i="22"/>
  <c r="C11" i="22"/>
  <c r="B11" i="22"/>
  <c r="H10" i="22"/>
  <c r="F10" i="22"/>
  <c r="E10" i="22"/>
  <c r="D10" i="22"/>
  <c r="C10" i="22"/>
  <c r="B10" i="22"/>
  <c r="H9" i="22"/>
  <c r="F9" i="22"/>
  <c r="G9" i="22" s="1"/>
  <c r="E9" i="22"/>
  <c r="D9" i="22"/>
  <c r="C9" i="22"/>
  <c r="B9" i="22"/>
  <c r="H8" i="22"/>
  <c r="G8" i="22"/>
  <c r="F8" i="22"/>
  <c r="F58" i="22" s="1"/>
  <c r="E8" i="22"/>
  <c r="D8" i="22"/>
  <c r="C8" i="22"/>
  <c r="B8" i="22"/>
  <c r="A4" i="22"/>
  <c r="A3" i="22"/>
  <c r="A2" i="22"/>
  <c r="A1" i="22"/>
  <c r="H59" i="21"/>
  <c r="G59" i="21"/>
  <c r="F59" i="21"/>
  <c r="E59" i="21"/>
  <c r="D59" i="21"/>
  <c r="C59" i="21"/>
  <c r="B59" i="21"/>
  <c r="A59" i="21"/>
  <c r="A60" i="22" s="1"/>
  <c r="A59" i="23" s="1"/>
  <c r="A60" i="24" s="1"/>
  <c r="H58" i="21"/>
  <c r="G58" i="21"/>
  <c r="F58" i="21"/>
  <c r="E58" i="21"/>
  <c r="D58" i="21"/>
  <c r="C58" i="21"/>
  <c r="B58" i="21"/>
  <c r="A58" i="21"/>
  <c r="A59" i="22" s="1"/>
  <c r="A58" i="23" s="1"/>
  <c r="A59" i="24" s="1"/>
  <c r="H56" i="21"/>
  <c r="G56" i="21"/>
  <c r="F56" i="21"/>
  <c r="E56" i="21"/>
  <c r="D56" i="21"/>
  <c r="C56" i="21"/>
  <c r="B56" i="21"/>
  <c r="H55" i="21"/>
  <c r="G55" i="21"/>
  <c r="F55" i="21"/>
  <c r="E55" i="21"/>
  <c r="D55" i="21"/>
  <c r="C55" i="21"/>
  <c r="B55" i="21"/>
  <c r="H54" i="21"/>
  <c r="G54" i="21"/>
  <c r="F54" i="21"/>
  <c r="E54" i="21"/>
  <c r="D54" i="21"/>
  <c r="C54" i="21"/>
  <c r="B54" i="21"/>
  <c r="H53" i="21"/>
  <c r="G53" i="21"/>
  <c r="F53" i="21"/>
  <c r="E53" i="21"/>
  <c r="D53" i="21"/>
  <c r="C53" i="21"/>
  <c r="B53" i="21"/>
  <c r="H52" i="21"/>
  <c r="G52" i="21"/>
  <c r="F52" i="21"/>
  <c r="E52" i="21"/>
  <c r="D52" i="21"/>
  <c r="C52" i="21"/>
  <c r="B52" i="21"/>
  <c r="H51" i="21"/>
  <c r="G51" i="21"/>
  <c r="F51" i="21"/>
  <c r="E51" i="21"/>
  <c r="D51" i="21"/>
  <c r="C51" i="21"/>
  <c r="B51" i="21"/>
  <c r="H50" i="21"/>
  <c r="G50" i="21"/>
  <c r="F50" i="21"/>
  <c r="E50" i="21"/>
  <c r="D50" i="21"/>
  <c r="C50" i="21"/>
  <c r="B50" i="21"/>
  <c r="H49" i="21"/>
  <c r="G49" i="21"/>
  <c r="F49" i="21"/>
  <c r="E49" i="21"/>
  <c r="D49" i="21"/>
  <c r="C49" i="21"/>
  <c r="B49" i="21"/>
  <c r="H48" i="21"/>
  <c r="G48" i="21"/>
  <c r="F48" i="21"/>
  <c r="E48" i="21"/>
  <c r="D48" i="21"/>
  <c r="C48" i="21"/>
  <c r="B48" i="21"/>
  <c r="H47" i="21"/>
  <c r="G47" i="21"/>
  <c r="F47" i="21"/>
  <c r="E47" i="21"/>
  <c r="D47" i="21"/>
  <c r="C47" i="21"/>
  <c r="B47" i="21"/>
  <c r="H46" i="21"/>
  <c r="G46" i="21"/>
  <c r="F46" i="21"/>
  <c r="E46" i="21"/>
  <c r="D46" i="21"/>
  <c r="C46" i="21"/>
  <c r="B46" i="21"/>
  <c r="H45" i="21"/>
  <c r="G45" i="21"/>
  <c r="F45" i="21"/>
  <c r="E45" i="21"/>
  <c r="D45" i="21"/>
  <c r="C45" i="21"/>
  <c r="B45" i="21"/>
  <c r="H44" i="21"/>
  <c r="G44" i="21"/>
  <c r="F44" i="21"/>
  <c r="E44" i="21"/>
  <c r="D44" i="21"/>
  <c r="C44" i="21"/>
  <c r="B44" i="21"/>
  <c r="H43" i="21"/>
  <c r="G43" i="21"/>
  <c r="F43" i="21"/>
  <c r="E43" i="21"/>
  <c r="D43" i="21"/>
  <c r="C43" i="21"/>
  <c r="B43" i="21"/>
  <c r="H42" i="21"/>
  <c r="G42" i="21"/>
  <c r="F42" i="21"/>
  <c r="E42" i="21"/>
  <c r="D42" i="21"/>
  <c r="C42" i="21"/>
  <c r="B42" i="21"/>
  <c r="H41" i="21"/>
  <c r="G41" i="21"/>
  <c r="F41" i="21"/>
  <c r="E41" i="21"/>
  <c r="D41" i="21"/>
  <c r="C41" i="21"/>
  <c r="B41" i="21"/>
  <c r="H40" i="21"/>
  <c r="G40" i="21"/>
  <c r="F40" i="21"/>
  <c r="E40" i="21"/>
  <c r="D40" i="21"/>
  <c r="C40" i="21"/>
  <c r="B40" i="21"/>
  <c r="H39" i="21"/>
  <c r="G39" i="21"/>
  <c r="F39" i="21"/>
  <c r="E39" i="21"/>
  <c r="D39" i="21"/>
  <c r="C39" i="21"/>
  <c r="B39" i="21"/>
  <c r="H38" i="21"/>
  <c r="G38" i="21"/>
  <c r="F38" i="21"/>
  <c r="E38" i="21"/>
  <c r="D38" i="21"/>
  <c r="C38" i="21"/>
  <c r="B38" i="21"/>
  <c r="H37" i="21"/>
  <c r="G37" i="21"/>
  <c r="F37" i="21"/>
  <c r="E37" i="21"/>
  <c r="D37" i="21"/>
  <c r="C37" i="21"/>
  <c r="B37" i="21"/>
  <c r="H36" i="21"/>
  <c r="G36" i="21"/>
  <c r="F36" i="21"/>
  <c r="E36" i="21"/>
  <c r="D36" i="21"/>
  <c r="C36" i="21"/>
  <c r="B36" i="21"/>
  <c r="H35" i="21"/>
  <c r="G35" i="21"/>
  <c r="F35" i="21"/>
  <c r="E35" i="21"/>
  <c r="D35" i="21"/>
  <c r="C35" i="21"/>
  <c r="B35" i="21"/>
  <c r="H34" i="21"/>
  <c r="G34" i="21"/>
  <c r="F34" i="21"/>
  <c r="E34" i="21"/>
  <c r="D34" i="21"/>
  <c r="C34" i="21"/>
  <c r="B34" i="21"/>
  <c r="H33" i="21"/>
  <c r="G33" i="21"/>
  <c r="F33" i="21"/>
  <c r="E33" i="21"/>
  <c r="D33" i="21"/>
  <c r="C33" i="21"/>
  <c r="B33" i="21"/>
  <c r="H32" i="21"/>
  <c r="G32" i="21"/>
  <c r="F32" i="21"/>
  <c r="E32" i="21"/>
  <c r="D32" i="21"/>
  <c r="C32" i="21"/>
  <c r="B32" i="21"/>
  <c r="H31" i="21"/>
  <c r="G31" i="21"/>
  <c r="F31" i="21"/>
  <c r="E31" i="21"/>
  <c r="D31" i="21"/>
  <c r="C31" i="21"/>
  <c r="B31" i="21"/>
  <c r="H30" i="21"/>
  <c r="G30" i="21"/>
  <c r="F30" i="21"/>
  <c r="E30" i="21"/>
  <c r="D30" i="21"/>
  <c r="C30" i="21"/>
  <c r="B30" i="21"/>
  <c r="H29" i="21"/>
  <c r="G29" i="21"/>
  <c r="F29" i="21"/>
  <c r="E29" i="21"/>
  <c r="D29" i="21"/>
  <c r="C29" i="21"/>
  <c r="B29" i="21"/>
  <c r="H28" i="21"/>
  <c r="G28" i="21"/>
  <c r="F28" i="21"/>
  <c r="E28" i="21"/>
  <c r="D28" i="21"/>
  <c r="C28" i="21"/>
  <c r="B28" i="21"/>
  <c r="H27" i="21"/>
  <c r="G27" i="21"/>
  <c r="F27" i="21"/>
  <c r="E27" i="21"/>
  <c r="D27" i="21"/>
  <c r="C27" i="21"/>
  <c r="B27" i="21"/>
  <c r="H26" i="21"/>
  <c r="G26" i="21"/>
  <c r="F26" i="21"/>
  <c r="E26" i="21"/>
  <c r="D26" i="21"/>
  <c r="C26" i="21"/>
  <c r="B26" i="21"/>
  <c r="H25" i="21"/>
  <c r="G25" i="21"/>
  <c r="F25" i="21"/>
  <c r="E25" i="21"/>
  <c r="D25" i="21"/>
  <c r="C25" i="21"/>
  <c r="B25" i="21"/>
  <c r="H24" i="21"/>
  <c r="G24" i="21"/>
  <c r="F24" i="21"/>
  <c r="E24" i="21"/>
  <c r="D24" i="21"/>
  <c r="C24" i="21"/>
  <c r="B24" i="21"/>
  <c r="H23" i="21"/>
  <c r="G23" i="21"/>
  <c r="F23" i="21"/>
  <c r="E23" i="21"/>
  <c r="D23" i="21"/>
  <c r="C23" i="21"/>
  <c r="B23" i="21"/>
  <c r="H22" i="21"/>
  <c r="G22" i="21"/>
  <c r="F22" i="21"/>
  <c r="E22" i="21"/>
  <c r="D22" i="21"/>
  <c r="C22" i="21"/>
  <c r="B22" i="21"/>
  <c r="H21" i="21"/>
  <c r="G21" i="21"/>
  <c r="F21" i="21"/>
  <c r="E21" i="21"/>
  <c r="D21" i="21"/>
  <c r="C21" i="21"/>
  <c r="B21" i="21"/>
  <c r="H20" i="21"/>
  <c r="G20" i="21"/>
  <c r="F20" i="21"/>
  <c r="E20" i="21"/>
  <c r="D20" i="21"/>
  <c r="C20" i="21"/>
  <c r="B20" i="21"/>
  <c r="H19" i="21"/>
  <c r="G19" i="21"/>
  <c r="F19" i="21"/>
  <c r="E19" i="21"/>
  <c r="D19" i="21"/>
  <c r="C19" i="21"/>
  <c r="B19" i="21"/>
  <c r="H18" i="21"/>
  <c r="G18" i="21"/>
  <c r="F18" i="21"/>
  <c r="E18" i="21"/>
  <c r="D18" i="21"/>
  <c r="C18" i="21"/>
  <c r="B18" i="21"/>
  <c r="H17" i="21"/>
  <c r="G17" i="21"/>
  <c r="F17" i="21"/>
  <c r="E17" i="21"/>
  <c r="D17" i="21"/>
  <c r="C17" i="21"/>
  <c r="B17" i="21"/>
  <c r="H16" i="21"/>
  <c r="G16" i="21"/>
  <c r="F16" i="21"/>
  <c r="E16" i="21"/>
  <c r="D16" i="21"/>
  <c r="C16" i="21"/>
  <c r="B16" i="21"/>
  <c r="H15" i="21"/>
  <c r="G15" i="21"/>
  <c r="F15" i="21"/>
  <c r="E15" i="21"/>
  <c r="D15" i="21"/>
  <c r="C15" i="21"/>
  <c r="B15" i="21"/>
  <c r="H14" i="21"/>
  <c r="G14" i="21"/>
  <c r="F14" i="21"/>
  <c r="E14" i="21"/>
  <c r="D14" i="21"/>
  <c r="C14" i="21"/>
  <c r="B14" i="21"/>
  <c r="H13" i="21"/>
  <c r="G13" i="21"/>
  <c r="F13" i="21"/>
  <c r="E13" i="21"/>
  <c r="D13" i="21"/>
  <c r="C13" i="21"/>
  <c r="B13" i="21"/>
  <c r="H12" i="21"/>
  <c r="G12" i="21"/>
  <c r="F12" i="21"/>
  <c r="E12" i="21"/>
  <c r="D12" i="21"/>
  <c r="C12" i="21"/>
  <c r="B12" i="21"/>
  <c r="H11" i="21"/>
  <c r="G11" i="21"/>
  <c r="F11" i="21"/>
  <c r="E11" i="21"/>
  <c r="D11" i="21"/>
  <c r="C11" i="21"/>
  <c r="B11" i="21"/>
  <c r="H10" i="21"/>
  <c r="G10" i="21"/>
  <c r="F10" i="21"/>
  <c r="E10" i="21"/>
  <c r="D10" i="21"/>
  <c r="C10" i="21"/>
  <c r="B10" i="21"/>
  <c r="H9" i="21"/>
  <c r="G9" i="21"/>
  <c r="G57" i="21" s="1"/>
  <c r="F9" i="21"/>
  <c r="E9" i="21"/>
  <c r="D9" i="21"/>
  <c r="C9" i="21"/>
  <c r="B9" i="21"/>
  <c r="H8" i="21"/>
  <c r="G8" i="21"/>
  <c r="F8" i="21"/>
  <c r="E8" i="21"/>
  <c r="D8" i="21"/>
  <c r="C8" i="21"/>
  <c r="B8" i="21"/>
  <c r="H7" i="21"/>
  <c r="G7" i="21"/>
  <c r="F7" i="21"/>
  <c r="E7" i="21"/>
  <c r="D7" i="21"/>
  <c r="D57" i="21" s="1"/>
  <c r="C7" i="21"/>
  <c r="B7" i="21"/>
  <c r="A4" i="21"/>
  <c r="A3" i="21"/>
  <c r="A2" i="21"/>
  <c r="A1" i="21"/>
  <c r="D59" i="19"/>
  <c r="B59" i="19"/>
  <c r="E58" i="19"/>
  <c r="E53" i="19" s="1"/>
  <c r="D58" i="19"/>
  <c r="C58" i="19"/>
  <c r="B58" i="19"/>
  <c r="D57" i="19"/>
  <c r="B57" i="19"/>
  <c r="I47" i="19"/>
  <c r="H47" i="19"/>
  <c r="H58" i="19" s="1"/>
  <c r="G47" i="19"/>
  <c r="G58" i="19" s="1"/>
  <c r="F47" i="19"/>
  <c r="F58" i="19" s="1"/>
  <c r="E47" i="19"/>
  <c r="A5" i="19"/>
  <c r="A4" i="19"/>
  <c r="A3" i="19"/>
  <c r="A2" i="19"/>
  <c r="A1" i="19"/>
  <c r="J63" i="18"/>
  <c r="I63" i="18"/>
  <c r="H63" i="18"/>
  <c r="G63" i="18"/>
  <c r="F63" i="18"/>
  <c r="E63" i="18"/>
  <c r="J62" i="18"/>
  <c r="I62" i="18"/>
  <c r="H62" i="18"/>
  <c r="G62" i="18"/>
  <c r="F62" i="18"/>
  <c r="E62" i="18"/>
  <c r="J61" i="18"/>
  <c r="I61" i="18"/>
  <c r="H61" i="18"/>
  <c r="G61" i="18"/>
  <c r="F61" i="18"/>
  <c r="E61" i="18"/>
  <c r="D51" i="18"/>
  <c r="C48" i="24" s="1"/>
  <c r="C51" i="18"/>
  <c r="B51" i="18"/>
  <c r="B62" i="18" s="1"/>
  <c r="D50" i="18"/>
  <c r="C47" i="24" s="1"/>
  <c r="D49" i="18"/>
  <c r="C46" i="24" s="1"/>
  <c r="D48" i="18"/>
  <c r="C45" i="24" s="1"/>
  <c r="D47" i="18"/>
  <c r="C44" i="24" s="1"/>
  <c r="D46" i="18"/>
  <c r="C43" i="24" s="1"/>
  <c r="D45" i="18"/>
  <c r="C42" i="24" s="1"/>
  <c r="D44" i="18"/>
  <c r="C41" i="24" s="1"/>
  <c r="D43" i="18"/>
  <c r="C40" i="24" s="1"/>
  <c r="D42" i="18"/>
  <c r="C39" i="24" s="1"/>
  <c r="D41" i="18"/>
  <c r="C38" i="24" s="1"/>
  <c r="B40" i="18"/>
  <c r="D40" i="18" s="1"/>
  <c r="C37" i="24" s="1"/>
  <c r="B39" i="18"/>
  <c r="D39" i="18" s="1"/>
  <c r="C36" i="24" s="1"/>
  <c r="B38" i="18"/>
  <c r="D38" i="18" s="1"/>
  <c r="C35" i="24" s="1"/>
  <c r="D37" i="18"/>
  <c r="C34" i="24" s="1"/>
  <c r="C37" i="18"/>
  <c r="B37" i="18"/>
  <c r="D36" i="18"/>
  <c r="C33" i="24" s="1"/>
  <c r="B36" i="18"/>
  <c r="D35" i="18"/>
  <c r="C32" i="24" s="1"/>
  <c r="B35" i="18"/>
  <c r="B34" i="18"/>
  <c r="D34" i="18" s="1"/>
  <c r="C31" i="24" s="1"/>
  <c r="D33" i="18"/>
  <c r="C30" i="24" s="1"/>
  <c r="B33" i="18"/>
  <c r="D32" i="18"/>
  <c r="C29" i="24" s="1"/>
  <c r="B32" i="18"/>
  <c r="B31" i="18"/>
  <c r="D31" i="18" s="1"/>
  <c r="C28" i="24" s="1"/>
  <c r="D30" i="18"/>
  <c r="C27" i="24" s="1"/>
  <c r="B30" i="18"/>
  <c r="D29" i="18"/>
  <c r="C26" i="24" s="1"/>
  <c r="B29" i="18"/>
  <c r="B28" i="18"/>
  <c r="D28" i="18" s="1"/>
  <c r="C25" i="24" s="1"/>
  <c r="D27" i="18"/>
  <c r="C24" i="24" s="1"/>
  <c r="B27" i="18"/>
  <c r="D26" i="18"/>
  <c r="C23" i="24" s="1"/>
  <c r="B26" i="18"/>
  <c r="B25" i="18"/>
  <c r="D25" i="18" s="1"/>
  <c r="C22" i="24" s="1"/>
  <c r="D24" i="18"/>
  <c r="C21" i="24" s="1"/>
  <c r="B24" i="18"/>
  <c r="D23" i="18"/>
  <c r="C20" i="24" s="1"/>
  <c r="B23" i="18"/>
  <c r="B22" i="18"/>
  <c r="D22" i="18" s="1"/>
  <c r="C19" i="24" s="1"/>
  <c r="D21" i="18"/>
  <c r="C18" i="24" s="1"/>
  <c r="B21" i="18"/>
  <c r="D20" i="18"/>
  <c r="C17" i="24" s="1"/>
  <c r="B20" i="18"/>
  <c r="B19" i="18"/>
  <c r="D19" i="18" s="1"/>
  <c r="C16" i="24" s="1"/>
  <c r="D18" i="18"/>
  <c r="C15" i="24" s="1"/>
  <c r="B18" i="18"/>
  <c r="D17" i="18"/>
  <c r="C14" i="24" s="1"/>
  <c r="B17" i="18"/>
  <c r="B16" i="18"/>
  <c r="D16" i="18" s="1"/>
  <c r="C13" i="24" s="1"/>
  <c r="D15" i="18"/>
  <c r="C12" i="24" s="1"/>
  <c r="B15" i="18"/>
  <c r="D14" i="18"/>
  <c r="C11" i="24" s="1"/>
  <c r="B14" i="18"/>
  <c r="B13" i="18"/>
  <c r="D13" i="18" s="1"/>
  <c r="C10" i="24" s="1"/>
  <c r="D12" i="18"/>
  <c r="C9" i="24" s="1"/>
  <c r="B12" i="18"/>
  <c r="D11" i="18"/>
  <c r="C8" i="24" s="1"/>
  <c r="B11" i="18"/>
  <c r="F8" i="18"/>
  <c r="C8" i="18"/>
  <c r="B8" i="18"/>
  <c r="A5" i="18"/>
  <c r="A4" i="18"/>
  <c r="A3" i="18"/>
  <c r="A2" i="18"/>
  <c r="A1" i="18"/>
  <c r="A59" i="17"/>
  <c r="A63" i="18" s="1"/>
  <c r="A59" i="19" s="1"/>
  <c r="A58" i="17"/>
  <c r="A62" i="18" s="1"/>
  <c r="A58" i="19" s="1"/>
  <c r="G47" i="17"/>
  <c r="G58" i="17" s="1"/>
  <c r="G55" i="17" s="1"/>
  <c r="F47" i="17"/>
  <c r="F58" i="17" s="1"/>
  <c r="F55" i="17" s="1"/>
  <c r="E47" i="17"/>
  <c r="E58" i="17" s="1"/>
  <c r="C47" i="17"/>
  <c r="B47" i="17"/>
  <c r="H46" i="17"/>
  <c r="B47" i="24" s="1"/>
  <c r="D46" i="17"/>
  <c r="I46" i="23" s="1"/>
  <c r="H45" i="17"/>
  <c r="B46" i="24" s="1"/>
  <c r="D45" i="17"/>
  <c r="I45" i="23" s="1"/>
  <c r="H44" i="17"/>
  <c r="B45" i="24" s="1"/>
  <c r="D44" i="17"/>
  <c r="I44" i="23" s="1"/>
  <c r="H43" i="17"/>
  <c r="B44" i="24" s="1"/>
  <c r="D43" i="17"/>
  <c r="I43" i="23" s="1"/>
  <c r="H42" i="17"/>
  <c r="B43" i="24" s="1"/>
  <c r="D42" i="17"/>
  <c r="I42" i="23" s="1"/>
  <c r="H41" i="17"/>
  <c r="B42" i="24" s="1"/>
  <c r="D42" i="24" s="1"/>
  <c r="D41" i="17"/>
  <c r="I41" i="23" s="1"/>
  <c r="H40" i="17"/>
  <c r="B41" i="24" s="1"/>
  <c r="D40" i="17"/>
  <c r="I40" i="23" s="1"/>
  <c r="H39" i="17"/>
  <c r="B40" i="24" s="1"/>
  <c r="D39" i="17"/>
  <c r="I39" i="23" s="1"/>
  <c r="H38" i="17"/>
  <c r="B39" i="24" s="1"/>
  <c r="D38" i="17"/>
  <c r="I38" i="23" s="1"/>
  <c r="H37" i="17"/>
  <c r="B38" i="24" s="1"/>
  <c r="D37" i="17"/>
  <c r="I37" i="23" s="1"/>
  <c r="H36" i="17"/>
  <c r="B37" i="24" s="1"/>
  <c r="D36" i="17"/>
  <c r="I36" i="23" s="1"/>
  <c r="H35" i="17"/>
  <c r="B36" i="24" s="1"/>
  <c r="D35" i="17"/>
  <c r="I35" i="23" s="1"/>
  <c r="H34" i="17"/>
  <c r="B35" i="24" s="1"/>
  <c r="D34" i="17"/>
  <c r="I34" i="23" s="1"/>
  <c r="H33" i="17"/>
  <c r="B34" i="24" s="1"/>
  <c r="D33" i="17"/>
  <c r="I33" i="23" s="1"/>
  <c r="H32" i="17"/>
  <c r="B33" i="24" s="1"/>
  <c r="D32" i="17"/>
  <c r="I32" i="23" s="1"/>
  <c r="H31" i="17"/>
  <c r="B32" i="24" s="1"/>
  <c r="D31" i="17"/>
  <c r="I31" i="23" s="1"/>
  <c r="H30" i="17"/>
  <c r="B31" i="24" s="1"/>
  <c r="D30" i="17"/>
  <c r="I30" i="23" s="1"/>
  <c r="H29" i="17"/>
  <c r="B30" i="24" s="1"/>
  <c r="D29" i="17"/>
  <c r="I29" i="23" s="1"/>
  <c r="H28" i="17"/>
  <c r="B29" i="24" s="1"/>
  <c r="D28" i="17"/>
  <c r="I28" i="23" s="1"/>
  <c r="H27" i="17"/>
  <c r="B28" i="24" s="1"/>
  <c r="D27" i="17"/>
  <c r="I27" i="23" s="1"/>
  <c r="H26" i="17"/>
  <c r="B27" i="24" s="1"/>
  <c r="D26" i="17"/>
  <c r="I26" i="23" s="1"/>
  <c r="H25" i="17"/>
  <c r="B26" i="24" s="1"/>
  <c r="D25" i="17"/>
  <c r="I25" i="23" s="1"/>
  <c r="H24" i="17"/>
  <c r="B25" i="24" s="1"/>
  <c r="D24" i="17"/>
  <c r="I24" i="23" s="1"/>
  <c r="H23" i="17"/>
  <c r="B24" i="24" s="1"/>
  <c r="D23" i="17"/>
  <c r="I23" i="23" s="1"/>
  <c r="H22" i="17"/>
  <c r="B23" i="24" s="1"/>
  <c r="D22" i="17"/>
  <c r="I22" i="23" s="1"/>
  <c r="H21" i="17"/>
  <c r="B22" i="24" s="1"/>
  <c r="D21" i="17"/>
  <c r="I21" i="23" s="1"/>
  <c r="H20" i="17"/>
  <c r="B21" i="24" s="1"/>
  <c r="D20" i="17"/>
  <c r="I20" i="23" s="1"/>
  <c r="H19" i="17"/>
  <c r="B20" i="24" s="1"/>
  <c r="D19" i="17"/>
  <c r="I19" i="23" s="1"/>
  <c r="H18" i="17"/>
  <c r="B19" i="24" s="1"/>
  <c r="D18" i="17"/>
  <c r="I18" i="23" s="1"/>
  <c r="H17" i="17"/>
  <c r="B18" i="24" s="1"/>
  <c r="D18" i="24" s="1"/>
  <c r="D17" i="17"/>
  <c r="I17" i="23" s="1"/>
  <c r="H16" i="17"/>
  <c r="B17" i="24" s="1"/>
  <c r="D16" i="17"/>
  <c r="I16" i="23" s="1"/>
  <c r="H15" i="17"/>
  <c r="B16" i="24" s="1"/>
  <c r="D15" i="17"/>
  <c r="I15" i="23" s="1"/>
  <c r="H14" i="17"/>
  <c r="B15" i="24" s="1"/>
  <c r="D14" i="17"/>
  <c r="I14" i="23" s="1"/>
  <c r="H13" i="17"/>
  <c r="B14" i="24" s="1"/>
  <c r="D13" i="17"/>
  <c r="I13" i="23" s="1"/>
  <c r="H12" i="17"/>
  <c r="B13" i="24" s="1"/>
  <c r="D12" i="17"/>
  <c r="I12" i="23" s="1"/>
  <c r="H11" i="17"/>
  <c r="B12" i="24" s="1"/>
  <c r="D11" i="17"/>
  <c r="I11" i="23" s="1"/>
  <c r="H10" i="17"/>
  <c r="B11" i="24" s="1"/>
  <c r="D10" i="17"/>
  <c r="I10" i="23" s="1"/>
  <c r="H9" i="17"/>
  <c r="B10" i="24" s="1"/>
  <c r="D9" i="17"/>
  <c r="I9" i="23" s="1"/>
  <c r="H8" i="17"/>
  <c r="B9" i="24" s="1"/>
  <c r="D8" i="17"/>
  <c r="I8" i="23" s="1"/>
  <c r="H7" i="17"/>
  <c r="B8" i="24" s="1"/>
  <c r="D7" i="17"/>
  <c r="I7" i="23" s="1"/>
  <c r="A5" i="17"/>
  <c r="A4" i="17"/>
  <c r="A3" i="17"/>
  <c r="A2" i="17"/>
  <c r="A1" i="17"/>
  <c r="G59" i="15"/>
  <c r="J58" i="15"/>
  <c r="G58" i="15"/>
  <c r="F58" i="15"/>
  <c r="J56" i="15"/>
  <c r="J55" i="15"/>
  <c r="G55" i="15"/>
  <c r="G56" i="15" s="1"/>
  <c r="J54" i="15"/>
  <c r="G54" i="15"/>
  <c r="J53" i="15"/>
  <c r="G53" i="15"/>
  <c r="F53" i="15"/>
  <c r="J52" i="15"/>
  <c r="G52" i="15"/>
  <c r="G57" i="15" s="1"/>
  <c r="J51" i="15"/>
  <c r="G51" i="15"/>
  <c r="J47" i="15"/>
  <c r="J57" i="15" s="1"/>
  <c r="I47" i="15"/>
  <c r="H47" i="15"/>
  <c r="H58" i="15" s="1"/>
  <c r="G47" i="15"/>
  <c r="F47" i="15"/>
  <c r="E47" i="15"/>
  <c r="E58" i="15" s="1"/>
  <c r="E52" i="15" s="1"/>
  <c r="C47" i="15"/>
  <c r="C58" i="15" s="1"/>
  <c r="B47" i="15"/>
  <c r="D47" i="15" s="1"/>
  <c r="E47" i="23" s="1"/>
  <c r="K46" i="15"/>
  <c r="F46" i="23" s="1"/>
  <c r="H46" i="23" s="1"/>
  <c r="D46" i="15"/>
  <c r="E46" i="23" s="1"/>
  <c r="K45" i="15"/>
  <c r="F45" i="23" s="1"/>
  <c r="H45" i="23" s="1"/>
  <c r="D45" i="15"/>
  <c r="E45" i="23" s="1"/>
  <c r="K44" i="15"/>
  <c r="F44" i="23" s="1"/>
  <c r="D44" i="15"/>
  <c r="E44" i="23" s="1"/>
  <c r="K43" i="15"/>
  <c r="F43" i="23" s="1"/>
  <c r="D43" i="15"/>
  <c r="E43" i="23" s="1"/>
  <c r="K42" i="15"/>
  <c r="F42" i="23" s="1"/>
  <c r="H42" i="23" s="1"/>
  <c r="D42" i="15"/>
  <c r="E42" i="23" s="1"/>
  <c r="K41" i="15"/>
  <c r="F41" i="23" s="1"/>
  <c r="D41" i="15"/>
  <c r="E41" i="23" s="1"/>
  <c r="K40" i="15"/>
  <c r="F40" i="23" s="1"/>
  <c r="D40" i="15"/>
  <c r="E40" i="23" s="1"/>
  <c r="K39" i="15"/>
  <c r="F39" i="23" s="1"/>
  <c r="H39" i="23" s="1"/>
  <c r="D39" i="15"/>
  <c r="E39" i="23" s="1"/>
  <c r="K38" i="15"/>
  <c r="F38" i="23" s="1"/>
  <c r="H38" i="23" s="1"/>
  <c r="D38" i="15"/>
  <c r="E38" i="23" s="1"/>
  <c r="K37" i="15"/>
  <c r="F37" i="23" s="1"/>
  <c r="H37" i="23" s="1"/>
  <c r="D37" i="15"/>
  <c r="E37" i="23" s="1"/>
  <c r="K36" i="15"/>
  <c r="F36" i="23" s="1"/>
  <c r="H36" i="23" s="1"/>
  <c r="D36" i="15"/>
  <c r="E36" i="23" s="1"/>
  <c r="K35" i="15"/>
  <c r="F35" i="23" s="1"/>
  <c r="D35" i="15"/>
  <c r="E35" i="23" s="1"/>
  <c r="K34" i="15"/>
  <c r="F34" i="23" s="1"/>
  <c r="D34" i="15"/>
  <c r="E34" i="23" s="1"/>
  <c r="K33" i="15"/>
  <c r="F33" i="23" s="1"/>
  <c r="H33" i="23" s="1"/>
  <c r="D33" i="15"/>
  <c r="E33" i="23" s="1"/>
  <c r="K32" i="15"/>
  <c r="F32" i="23" s="1"/>
  <c r="H32" i="23" s="1"/>
  <c r="D32" i="15"/>
  <c r="K31" i="15"/>
  <c r="F31" i="23" s="1"/>
  <c r="H31" i="23" s="1"/>
  <c r="D31" i="15"/>
  <c r="E31" i="23" s="1"/>
  <c r="K30" i="15"/>
  <c r="F30" i="23" s="1"/>
  <c r="H30" i="23" s="1"/>
  <c r="D30" i="15"/>
  <c r="E30" i="23" s="1"/>
  <c r="K29" i="15"/>
  <c r="F29" i="23" s="1"/>
  <c r="H29" i="23" s="1"/>
  <c r="D29" i="15"/>
  <c r="E29" i="23" s="1"/>
  <c r="K28" i="15"/>
  <c r="F28" i="23" s="1"/>
  <c r="H28" i="23" s="1"/>
  <c r="D28" i="15"/>
  <c r="E28" i="23" s="1"/>
  <c r="K27" i="15"/>
  <c r="F27" i="23" s="1"/>
  <c r="D27" i="15"/>
  <c r="E27" i="23" s="1"/>
  <c r="K26" i="15"/>
  <c r="F26" i="23" s="1"/>
  <c r="D26" i="15"/>
  <c r="E26" i="23" s="1"/>
  <c r="K25" i="15"/>
  <c r="F25" i="23" s="1"/>
  <c r="D25" i="15"/>
  <c r="E25" i="23" s="1"/>
  <c r="K24" i="15"/>
  <c r="F24" i="23" s="1"/>
  <c r="H24" i="23" s="1"/>
  <c r="D24" i="15"/>
  <c r="E24" i="23" s="1"/>
  <c r="K23" i="15"/>
  <c r="F23" i="23" s="1"/>
  <c r="D23" i="15"/>
  <c r="E23" i="23" s="1"/>
  <c r="K22" i="15"/>
  <c r="F22" i="23" s="1"/>
  <c r="H22" i="23" s="1"/>
  <c r="D22" i="15"/>
  <c r="E22" i="23" s="1"/>
  <c r="K21" i="15"/>
  <c r="F21" i="23" s="1"/>
  <c r="H21" i="23" s="1"/>
  <c r="D21" i="15"/>
  <c r="E21" i="23" s="1"/>
  <c r="K20" i="15"/>
  <c r="F20" i="23" s="1"/>
  <c r="H20" i="23" s="1"/>
  <c r="D20" i="15"/>
  <c r="E20" i="23" s="1"/>
  <c r="K19" i="15"/>
  <c r="F19" i="23" s="1"/>
  <c r="H19" i="23" s="1"/>
  <c r="D19" i="15"/>
  <c r="E19" i="23" s="1"/>
  <c r="K18" i="15"/>
  <c r="F18" i="23" s="1"/>
  <c r="H18" i="23" s="1"/>
  <c r="D18" i="15"/>
  <c r="E18" i="23" s="1"/>
  <c r="K17" i="15"/>
  <c r="F17" i="23" s="1"/>
  <c r="H17" i="23" s="1"/>
  <c r="D17" i="15"/>
  <c r="E17" i="23" s="1"/>
  <c r="K16" i="15"/>
  <c r="F16" i="23" s="1"/>
  <c r="H16" i="23" s="1"/>
  <c r="D16" i="15"/>
  <c r="E16" i="23" s="1"/>
  <c r="K15" i="15"/>
  <c r="F15" i="23" s="1"/>
  <c r="D15" i="15"/>
  <c r="E15" i="23" s="1"/>
  <c r="K14" i="15"/>
  <c r="F14" i="23" s="1"/>
  <c r="D14" i="15"/>
  <c r="E14" i="23" s="1"/>
  <c r="K13" i="15"/>
  <c r="F13" i="23" s="1"/>
  <c r="D13" i="15"/>
  <c r="E13" i="23" s="1"/>
  <c r="K12" i="15"/>
  <c r="F12" i="23" s="1"/>
  <c r="D12" i="15"/>
  <c r="K11" i="15"/>
  <c r="F11" i="23" s="1"/>
  <c r="H11" i="23" s="1"/>
  <c r="D11" i="15"/>
  <c r="E11" i="23" s="1"/>
  <c r="K10" i="15"/>
  <c r="F10" i="23" s="1"/>
  <c r="H10" i="23" s="1"/>
  <c r="D10" i="15"/>
  <c r="E10" i="23" s="1"/>
  <c r="K9" i="15"/>
  <c r="F9" i="23" s="1"/>
  <c r="H9" i="23" s="1"/>
  <c r="D9" i="15"/>
  <c r="E9" i="23" s="1"/>
  <c r="K8" i="15"/>
  <c r="F8" i="23" s="1"/>
  <c r="H8" i="23" s="1"/>
  <c r="D8" i="15"/>
  <c r="E8" i="23" s="1"/>
  <c r="K7" i="15"/>
  <c r="F7" i="23" s="1"/>
  <c r="D7" i="15"/>
  <c r="A5" i="15"/>
  <c r="A4" i="15"/>
  <c r="A3" i="15"/>
  <c r="A2" i="15"/>
  <c r="A1" i="15"/>
  <c r="B58" i="14"/>
  <c r="B55" i="14" s="1"/>
  <c r="F47" i="14"/>
  <c r="F58" i="14" s="1"/>
  <c r="F48" i="14" s="1"/>
  <c r="E47" i="14"/>
  <c r="C47" i="14"/>
  <c r="C58" i="14" s="1"/>
  <c r="B47" i="14"/>
  <c r="I46" i="14"/>
  <c r="C46" i="23" s="1"/>
  <c r="H46" i="14"/>
  <c r="G46" i="14"/>
  <c r="D46" i="14"/>
  <c r="I45" i="14"/>
  <c r="C45" i="23" s="1"/>
  <c r="H45" i="14"/>
  <c r="B45" i="23" s="1"/>
  <c r="G45" i="14"/>
  <c r="D45" i="14"/>
  <c r="I44" i="14"/>
  <c r="C44" i="23" s="1"/>
  <c r="H44" i="14"/>
  <c r="B44" i="23" s="1"/>
  <c r="G44" i="14"/>
  <c r="D44" i="14"/>
  <c r="I43" i="14"/>
  <c r="C43" i="23" s="1"/>
  <c r="H43" i="14"/>
  <c r="B43" i="23" s="1"/>
  <c r="G43" i="14"/>
  <c r="D43" i="14"/>
  <c r="I42" i="14"/>
  <c r="C42" i="23" s="1"/>
  <c r="H42" i="14"/>
  <c r="B42" i="23" s="1"/>
  <c r="G42" i="14"/>
  <c r="D42" i="14"/>
  <c r="I41" i="14"/>
  <c r="C41" i="23" s="1"/>
  <c r="H41" i="14"/>
  <c r="B41" i="23" s="1"/>
  <c r="G41" i="14"/>
  <c r="D41" i="14"/>
  <c r="I40" i="14"/>
  <c r="C40" i="23" s="1"/>
  <c r="H40" i="14"/>
  <c r="B40" i="23" s="1"/>
  <c r="G40" i="14"/>
  <c r="D40" i="14"/>
  <c r="J39" i="14"/>
  <c r="G39" i="14"/>
  <c r="D39" i="14"/>
  <c r="J38" i="14"/>
  <c r="G38" i="14"/>
  <c r="D38" i="14"/>
  <c r="I37" i="14"/>
  <c r="C37" i="23" s="1"/>
  <c r="H37" i="14"/>
  <c r="B37" i="23" s="1"/>
  <c r="D37" i="23" s="1"/>
  <c r="G37" i="14"/>
  <c r="D37" i="14"/>
  <c r="J36" i="14"/>
  <c r="G36" i="14"/>
  <c r="D36" i="14"/>
  <c r="I35" i="14"/>
  <c r="C35" i="23" s="1"/>
  <c r="H35" i="14"/>
  <c r="B35" i="23" s="1"/>
  <c r="G35" i="14"/>
  <c r="D35" i="14"/>
  <c r="I34" i="14"/>
  <c r="C34" i="23" s="1"/>
  <c r="H34" i="14"/>
  <c r="B34" i="23" s="1"/>
  <c r="G34" i="14"/>
  <c r="D34" i="14"/>
  <c r="I33" i="14"/>
  <c r="C33" i="23" s="1"/>
  <c r="H33" i="14"/>
  <c r="G33" i="14"/>
  <c r="D33" i="14"/>
  <c r="I32" i="14"/>
  <c r="C32" i="23" s="1"/>
  <c r="H32" i="14"/>
  <c r="B32" i="23" s="1"/>
  <c r="G32" i="14"/>
  <c r="D32" i="14"/>
  <c r="I31" i="14"/>
  <c r="C31" i="23" s="1"/>
  <c r="H31" i="14"/>
  <c r="G31" i="14"/>
  <c r="D31" i="14"/>
  <c r="I30" i="14"/>
  <c r="C30" i="23" s="1"/>
  <c r="H30" i="14"/>
  <c r="B30" i="23" s="1"/>
  <c r="G30" i="14"/>
  <c r="D30" i="14"/>
  <c r="I29" i="14"/>
  <c r="C29" i="23" s="1"/>
  <c r="H29" i="14"/>
  <c r="B29" i="23" s="1"/>
  <c r="G29" i="14"/>
  <c r="D29" i="14"/>
  <c r="I28" i="14"/>
  <c r="C28" i="23" s="1"/>
  <c r="H28" i="14"/>
  <c r="G28" i="14"/>
  <c r="D28" i="14"/>
  <c r="I27" i="14"/>
  <c r="C27" i="23" s="1"/>
  <c r="H27" i="14"/>
  <c r="B27" i="23" s="1"/>
  <c r="G27" i="14"/>
  <c r="D27" i="14"/>
  <c r="I26" i="14"/>
  <c r="C26" i="23" s="1"/>
  <c r="H26" i="14"/>
  <c r="B26" i="23" s="1"/>
  <c r="G26" i="14"/>
  <c r="D26" i="14"/>
  <c r="I25" i="14"/>
  <c r="C25" i="23" s="1"/>
  <c r="H25" i="14"/>
  <c r="B25" i="23" s="1"/>
  <c r="G25" i="14"/>
  <c r="D25" i="14"/>
  <c r="I24" i="14"/>
  <c r="C24" i="23" s="1"/>
  <c r="H24" i="14"/>
  <c r="B24" i="23" s="1"/>
  <c r="G24" i="14"/>
  <c r="D24" i="14"/>
  <c r="I23" i="14"/>
  <c r="C23" i="23" s="1"/>
  <c r="H23" i="14"/>
  <c r="G23" i="14"/>
  <c r="D23" i="14"/>
  <c r="I22" i="14"/>
  <c r="C22" i="23" s="1"/>
  <c r="H22" i="14"/>
  <c r="B22" i="23" s="1"/>
  <c r="G22" i="14"/>
  <c r="D22" i="14"/>
  <c r="I21" i="14"/>
  <c r="C21" i="23" s="1"/>
  <c r="H21" i="14"/>
  <c r="B21" i="23" s="1"/>
  <c r="G21" i="14"/>
  <c r="D21" i="14"/>
  <c r="I20" i="14"/>
  <c r="C20" i="23" s="1"/>
  <c r="H20" i="14"/>
  <c r="B20" i="23" s="1"/>
  <c r="G20" i="14"/>
  <c r="D20" i="14"/>
  <c r="I19" i="14"/>
  <c r="C19" i="23" s="1"/>
  <c r="H19" i="14"/>
  <c r="G19" i="14"/>
  <c r="D19" i="14"/>
  <c r="I18" i="14"/>
  <c r="C18" i="23" s="1"/>
  <c r="H18" i="14"/>
  <c r="G18" i="14"/>
  <c r="D18" i="14"/>
  <c r="I17" i="14"/>
  <c r="C17" i="23" s="1"/>
  <c r="H17" i="14"/>
  <c r="B17" i="23" s="1"/>
  <c r="G17" i="14"/>
  <c r="D17" i="14"/>
  <c r="I16" i="14"/>
  <c r="C16" i="23" s="1"/>
  <c r="H16" i="14"/>
  <c r="B16" i="23" s="1"/>
  <c r="G16" i="14"/>
  <c r="D16" i="14"/>
  <c r="I15" i="14"/>
  <c r="C15" i="23" s="1"/>
  <c r="H15" i="14"/>
  <c r="B15" i="23" s="1"/>
  <c r="D15" i="23" s="1"/>
  <c r="G15" i="14"/>
  <c r="D15" i="14"/>
  <c r="I14" i="14"/>
  <c r="C14" i="23" s="1"/>
  <c r="H14" i="14"/>
  <c r="B14" i="23" s="1"/>
  <c r="G14" i="14"/>
  <c r="D14" i="14"/>
  <c r="I13" i="14"/>
  <c r="C13" i="23" s="1"/>
  <c r="H13" i="14"/>
  <c r="B13" i="23" s="1"/>
  <c r="G13" i="14"/>
  <c r="D13" i="14"/>
  <c r="I12" i="14"/>
  <c r="C12" i="23" s="1"/>
  <c r="H12" i="14"/>
  <c r="B12" i="23" s="1"/>
  <c r="G12" i="14"/>
  <c r="D12" i="14"/>
  <c r="I11" i="14"/>
  <c r="C11" i="23" s="1"/>
  <c r="H11" i="14"/>
  <c r="G11" i="14"/>
  <c r="D11" i="14"/>
  <c r="I10" i="14"/>
  <c r="C10" i="23" s="1"/>
  <c r="H10" i="14"/>
  <c r="B10" i="23" s="1"/>
  <c r="G10" i="14"/>
  <c r="D10" i="14"/>
  <c r="I9" i="14"/>
  <c r="C9" i="23" s="1"/>
  <c r="H9" i="14"/>
  <c r="B9" i="23" s="1"/>
  <c r="G9" i="14"/>
  <c r="D9" i="14"/>
  <c r="I8" i="14"/>
  <c r="C8" i="23" s="1"/>
  <c r="H8" i="14"/>
  <c r="B8" i="23" s="1"/>
  <c r="G8" i="14"/>
  <c r="D8" i="14"/>
  <c r="I7" i="14"/>
  <c r="C7" i="23" s="1"/>
  <c r="H7" i="14"/>
  <c r="G7" i="14"/>
  <c r="D7" i="14"/>
  <c r="A5" i="14"/>
  <c r="A4" i="14"/>
  <c r="A3" i="14"/>
  <c r="A2" i="14"/>
  <c r="A1" i="14"/>
  <c r="H59" i="13"/>
  <c r="H58" i="13"/>
  <c r="G57" i="13"/>
  <c r="F57" i="13"/>
  <c r="H56" i="13"/>
  <c r="H55" i="13"/>
  <c r="H54" i="13"/>
  <c r="H53" i="13"/>
  <c r="H52" i="13"/>
  <c r="H51" i="13"/>
  <c r="H50" i="13"/>
  <c r="H49" i="13"/>
  <c r="B49" i="13"/>
  <c r="H48" i="13"/>
  <c r="I47" i="13"/>
  <c r="H48" i="22" s="1"/>
  <c r="H47" i="13"/>
  <c r="D47" i="13"/>
  <c r="C47" i="13"/>
  <c r="B47" i="13"/>
  <c r="B58" i="13" s="1"/>
  <c r="B51" i="13" s="1"/>
  <c r="H46" i="13"/>
  <c r="E46" i="13"/>
  <c r="H45" i="13"/>
  <c r="E45" i="13"/>
  <c r="H44" i="13"/>
  <c r="E44" i="13"/>
  <c r="H43" i="13"/>
  <c r="E43" i="13"/>
  <c r="H42" i="13"/>
  <c r="E42" i="13"/>
  <c r="H41" i="13"/>
  <c r="E41" i="13"/>
  <c r="H40" i="13"/>
  <c r="E40" i="13"/>
  <c r="H39" i="13"/>
  <c r="E39" i="13"/>
  <c r="H38" i="13"/>
  <c r="E38" i="13"/>
  <c r="H37" i="13"/>
  <c r="E37" i="13"/>
  <c r="H36" i="13"/>
  <c r="E36" i="13"/>
  <c r="H35" i="13"/>
  <c r="E35" i="13"/>
  <c r="H34" i="13"/>
  <c r="E34" i="13"/>
  <c r="H33" i="13"/>
  <c r="E33" i="13"/>
  <c r="H32" i="13"/>
  <c r="E32" i="13"/>
  <c r="H31" i="13"/>
  <c r="E31" i="13"/>
  <c r="H30" i="13"/>
  <c r="E30" i="13"/>
  <c r="H29" i="13"/>
  <c r="E29" i="13"/>
  <c r="H28" i="13"/>
  <c r="E28" i="13"/>
  <c r="H27" i="13"/>
  <c r="E27" i="13"/>
  <c r="H26" i="13"/>
  <c r="E26" i="13"/>
  <c r="H25" i="13"/>
  <c r="E25" i="13"/>
  <c r="H24" i="13"/>
  <c r="E24" i="13"/>
  <c r="H23" i="13"/>
  <c r="E23" i="13"/>
  <c r="H22" i="13"/>
  <c r="E22" i="13"/>
  <c r="H21" i="13"/>
  <c r="E21" i="13"/>
  <c r="H20" i="13"/>
  <c r="E20" i="13"/>
  <c r="H19" i="13"/>
  <c r="E19" i="13"/>
  <c r="H18" i="13"/>
  <c r="E18" i="13"/>
  <c r="H17" i="13"/>
  <c r="E17" i="13"/>
  <c r="H16" i="13"/>
  <c r="E16" i="13"/>
  <c r="H15" i="13"/>
  <c r="E15" i="13"/>
  <c r="H14" i="13"/>
  <c r="E14" i="13"/>
  <c r="H13" i="13"/>
  <c r="E13" i="13"/>
  <c r="H12" i="13"/>
  <c r="E12" i="13"/>
  <c r="H11" i="13"/>
  <c r="H57" i="13" s="1"/>
  <c r="E11" i="13"/>
  <c r="H10" i="13"/>
  <c r="E10" i="13"/>
  <c r="H9" i="13"/>
  <c r="E9" i="13"/>
  <c r="H8" i="13"/>
  <c r="E8" i="13"/>
  <c r="H7" i="13"/>
  <c r="E7" i="13"/>
  <c r="A5" i="13"/>
  <c r="A4" i="13"/>
  <c r="A3" i="13"/>
  <c r="A2" i="13"/>
  <c r="A1" i="13"/>
  <c r="B62" i="12"/>
  <c r="S51" i="12"/>
  <c r="Q51" i="12"/>
  <c r="Q62" i="12" s="1"/>
  <c r="Q57" i="12" s="1"/>
  <c r="O51" i="12"/>
  <c r="O62" i="12" s="1"/>
  <c r="J51" i="12"/>
  <c r="J62" i="12" s="1"/>
  <c r="J52" i="12" s="1"/>
  <c r="H51" i="12"/>
  <c r="D51" i="12"/>
  <c r="B51" i="12"/>
  <c r="L50" i="12"/>
  <c r="F50" i="12"/>
  <c r="L49" i="12"/>
  <c r="F49" i="12"/>
  <c r="L48" i="12"/>
  <c r="F48" i="12"/>
  <c r="L47" i="12"/>
  <c r="F47" i="12"/>
  <c r="L46" i="12"/>
  <c r="F46" i="12"/>
  <c r="L45" i="12"/>
  <c r="F45" i="12"/>
  <c r="L44" i="12"/>
  <c r="F44" i="12"/>
  <c r="L43" i="12"/>
  <c r="F43" i="12"/>
  <c r="L42" i="12"/>
  <c r="F42" i="12"/>
  <c r="L41" i="12"/>
  <c r="F41" i="12"/>
  <c r="F40" i="12"/>
  <c r="F39" i="12"/>
  <c r="Q38" i="12"/>
  <c r="F38" i="12"/>
  <c r="F37" i="12"/>
  <c r="J36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Q20" i="12"/>
  <c r="F20" i="12"/>
  <c r="F19" i="12"/>
  <c r="F18" i="12"/>
  <c r="F17" i="12"/>
  <c r="F16" i="12"/>
  <c r="F15" i="12"/>
  <c r="F14" i="12"/>
  <c r="F13" i="12"/>
  <c r="F12" i="12"/>
  <c r="F11" i="12"/>
  <c r="S8" i="12"/>
  <c r="Q8" i="12"/>
  <c r="J8" i="12"/>
  <c r="D8" i="12"/>
  <c r="B8" i="12"/>
  <c r="A5" i="12"/>
  <c r="A4" i="12"/>
  <c r="A3" i="12"/>
  <c r="A2" i="12"/>
  <c r="A1" i="12"/>
  <c r="B58" i="11"/>
  <c r="B55" i="11" s="1"/>
  <c r="B52" i="11"/>
  <c r="F50" i="11"/>
  <c r="F48" i="11"/>
  <c r="B48" i="11"/>
  <c r="G47" i="11"/>
  <c r="G58" i="11" s="1"/>
  <c r="F47" i="11"/>
  <c r="F58" i="11" s="1"/>
  <c r="F49" i="11" s="1"/>
  <c r="D47" i="11"/>
  <c r="C47" i="11"/>
  <c r="C58" i="11" s="1"/>
  <c r="C49" i="11" s="1"/>
  <c r="B47" i="11"/>
  <c r="H46" i="11"/>
  <c r="E46" i="11"/>
  <c r="H45" i="11"/>
  <c r="E45" i="11"/>
  <c r="H44" i="11"/>
  <c r="E44" i="11"/>
  <c r="H43" i="11"/>
  <c r="E43" i="11"/>
  <c r="H42" i="11"/>
  <c r="E42" i="11"/>
  <c r="H41" i="11"/>
  <c r="E41" i="11"/>
  <c r="H40" i="11"/>
  <c r="E40" i="11"/>
  <c r="H39" i="11"/>
  <c r="E39" i="11"/>
  <c r="H38" i="11"/>
  <c r="H37" i="11"/>
  <c r="C37" i="11"/>
  <c r="E37" i="11" s="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A5" i="11"/>
  <c r="A4" i="11"/>
  <c r="A3" i="11"/>
  <c r="A2" i="11"/>
  <c r="A1" i="11"/>
  <c r="I47" i="10"/>
  <c r="H47" i="10"/>
  <c r="G47" i="10"/>
  <c r="G58" i="10" s="1"/>
  <c r="G51" i="10" s="1"/>
  <c r="E47" i="10"/>
  <c r="D47" i="10"/>
  <c r="D58" i="10" s="1"/>
  <c r="C47" i="10"/>
  <c r="C58" i="10" s="1"/>
  <c r="C53" i="10" s="1"/>
  <c r="B47" i="10"/>
  <c r="B58" i="10" s="1"/>
  <c r="N46" i="10"/>
  <c r="L46" i="10"/>
  <c r="J46" i="10"/>
  <c r="F46" i="10"/>
  <c r="N45" i="10"/>
  <c r="L45" i="10"/>
  <c r="J45" i="10"/>
  <c r="F45" i="10"/>
  <c r="N44" i="10"/>
  <c r="L44" i="10"/>
  <c r="J44" i="10"/>
  <c r="F44" i="10"/>
  <c r="N43" i="10"/>
  <c r="L43" i="10"/>
  <c r="J43" i="10"/>
  <c r="F43" i="10"/>
  <c r="N42" i="10"/>
  <c r="L42" i="10"/>
  <c r="J42" i="10"/>
  <c r="F42" i="10"/>
  <c r="N41" i="10"/>
  <c r="L41" i="10"/>
  <c r="J41" i="10"/>
  <c r="F41" i="10"/>
  <c r="N40" i="10"/>
  <c r="L40" i="10"/>
  <c r="J40" i="10"/>
  <c r="F40" i="10"/>
  <c r="N39" i="10"/>
  <c r="L39" i="10"/>
  <c r="J39" i="10"/>
  <c r="F39" i="10"/>
  <c r="N38" i="10"/>
  <c r="J38" i="10"/>
  <c r="F38" i="10"/>
  <c r="N37" i="10"/>
  <c r="J37" i="10"/>
  <c r="F37" i="10"/>
  <c r="N36" i="10"/>
  <c r="J36" i="10"/>
  <c r="F36" i="10"/>
  <c r="N35" i="10"/>
  <c r="J35" i="10"/>
  <c r="F35" i="10"/>
  <c r="N34" i="10"/>
  <c r="J34" i="10"/>
  <c r="F34" i="10"/>
  <c r="N33" i="10"/>
  <c r="J33" i="10"/>
  <c r="F33" i="10"/>
  <c r="N32" i="10"/>
  <c r="J32" i="10"/>
  <c r="F32" i="10"/>
  <c r="N31" i="10"/>
  <c r="J31" i="10"/>
  <c r="F31" i="10"/>
  <c r="C31" i="10"/>
  <c r="L31" i="10" s="1"/>
  <c r="N30" i="10"/>
  <c r="J30" i="10"/>
  <c r="F30" i="10"/>
  <c r="N29" i="10"/>
  <c r="J29" i="10"/>
  <c r="F29" i="10"/>
  <c r="N28" i="10"/>
  <c r="J28" i="10"/>
  <c r="F28" i="10"/>
  <c r="N27" i="10"/>
  <c r="J27" i="10"/>
  <c r="F27" i="10"/>
  <c r="N26" i="10"/>
  <c r="J26" i="10"/>
  <c r="F26" i="10"/>
  <c r="N25" i="10"/>
  <c r="J25" i="10"/>
  <c r="F25" i="10"/>
  <c r="N24" i="10"/>
  <c r="J24" i="10"/>
  <c r="F24" i="10"/>
  <c r="N23" i="10"/>
  <c r="J23" i="10"/>
  <c r="F23" i="10"/>
  <c r="N22" i="10"/>
  <c r="J22" i="10"/>
  <c r="F22" i="10"/>
  <c r="N21" i="10"/>
  <c r="J21" i="10"/>
  <c r="F21" i="10"/>
  <c r="N20" i="10"/>
  <c r="J20" i="10"/>
  <c r="F20" i="10"/>
  <c r="C20" i="10"/>
  <c r="L20" i="10" s="1"/>
  <c r="N19" i="10"/>
  <c r="J19" i="10"/>
  <c r="F19" i="10"/>
  <c r="N18" i="10"/>
  <c r="J18" i="10"/>
  <c r="F18" i="10"/>
  <c r="N17" i="10"/>
  <c r="J17" i="10"/>
  <c r="F17" i="10"/>
  <c r="N16" i="10"/>
  <c r="J16" i="10"/>
  <c r="F16" i="10"/>
  <c r="C16" i="10"/>
  <c r="L16" i="10" s="1"/>
  <c r="N15" i="10"/>
  <c r="J15" i="10"/>
  <c r="F15" i="10"/>
  <c r="N14" i="10"/>
  <c r="J14" i="10"/>
  <c r="F14" i="10"/>
  <c r="C14" i="10"/>
  <c r="L14" i="10" s="1"/>
  <c r="N13" i="10"/>
  <c r="J13" i="10"/>
  <c r="F13" i="10"/>
  <c r="N12" i="10"/>
  <c r="J12" i="10"/>
  <c r="F12" i="10"/>
  <c r="N11" i="10"/>
  <c r="J11" i="10"/>
  <c r="F11" i="10"/>
  <c r="N10" i="10"/>
  <c r="J10" i="10"/>
  <c r="F10" i="10"/>
  <c r="N9" i="10"/>
  <c r="J9" i="10"/>
  <c r="F9" i="10"/>
  <c r="N8" i="10"/>
  <c r="J8" i="10"/>
  <c r="F8" i="10"/>
  <c r="N7" i="10"/>
  <c r="J7" i="10"/>
  <c r="F7" i="10"/>
  <c r="A5" i="10"/>
  <c r="A4" i="10"/>
  <c r="A3" i="10"/>
  <c r="A2" i="10"/>
  <c r="A1" i="10"/>
  <c r="A59" i="9"/>
  <c r="A59" i="10" s="1"/>
  <c r="A59" i="11" s="1"/>
  <c r="A63" i="12" s="1"/>
  <c r="A59" i="13" s="1"/>
  <c r="A59" i="14" s="1"/>
  <c r="A59" i="15" s="1"/>
  <c r="A58" i="9"/>
  <c r="A58" i="10" s="1"/>
  <c r="A58" i="11" s="1"/>
  <c r="A62" i="12" s="1"/>
  <c r="A58" i="13" s="1"/>
  <c r="A58" i="14" s="1"/>
  <c r="A58" i="15" s="1"/>
  <c r="H47" i="9"/>
  <c r="F47" i="9"/>
  <c r="E47" i="9"/>
  <c r="E58" i="9" s="1"/>
  <c r="E55" i="9" s="1"/>
  <c r="D47" i="9"/>
  <c r="C47" i="9"/>
  <c r="B47" i="9"/>
  <c r="B58" i="9" s="1"/>
  <c r="B50" i="9" s="1"/>
  <c r="M46" i="9"/>
  <c r="K46" i="9"/>
  <c r="G46" i="9"/>
  <c r="M45" i="9"/>
  <c r="K45" i="9"/>
  <c r="G45" i="9"/>
  <c r="M44" i="9"/>
  <c r="K44" i="9"/>
  <c r="G44" i="9"/>
  <c r="M43" i="9"/>
  <c r="K43" i="9"/>
  <c r="G43" i="9"/>
  <c r="M42" i="9"/>
  <c r="K42" i="9"/>
  <c r="G42" i="9"/>
  <c r="M41" i="9"/>
  <c r="K41" i="9"/>
  <c r="G41" i="9"/>
  <c r="M40" i="9"/>
  <c r="K40" i="9"/>
  <c r="G40" i="9"/>
  <c r="M39" i="9"/>
  <c r="K39" i="9"/>
  <c r="G39" i="9"/>
  <c r="M38" i="9"/>
  <c r="K38" i="9"/>
  <c r="G38" i="9"/>
  <c r="M37" i="9"/>
  <c r="K37" i="9"/>
  <c r="G37" i="9"/>
  <c r="M36" i="9"/>
  <c r="K36" i="9"/>
  <c r="G36" i="9"/>
  <c r="M35" i="9"/>
  <c r="K35" i="9"/>
  <c r="G35" i="9"/>
  <c r="F34" i="9"/>
  <c r="M34" i="9" s="1"/>
  <c r="E34" i="9"/>
  <c r="K34" i="9" s="1"/>
  <c r="F33" i="9"/>
  <c r="M33" i="9" s="1"/>
  <c r="E33" i="9"/>
  <c r="K33" i="9" s="1"/>
  <c r="F32" i="9"/>
  <c r="M32" i="9" s="1"/>
  <c r="E32" i="9"/>
  <c r="K32" i="9" s="1"/>
  <c r="F31" i="9"/>
  <c r="M31" i="9" s="1"/>
  <c r="E31" i="9"/>
  <c r="K31" i="9" s="1"/>
  <c r="F30" i="9"/>
  <c r="M30" i="9" s="1"/>
  <c r="E30" i="9"/>
  <c r="K30" i="9" s="1"/>
  <c r="F29" i="9"/>
  <c r="M29" i="9" s="1"/>
  <c r="E29" i="9"/>
  <c r="K29" i="9" s="1"/>
  <c r="F28" i="9"/>
  <c r="M28" i="9" s="1"/>
  <c r="E28" i="9"/>
  <c r="K28" i="9" s="1"/>
  <c r="F27" i="9"/>
  <c r="M27" i="9" s="1"/>
  <c r="E27" i="9"/>
  <c r="K27" i="9" s="1"/>
  <c r="F26" i="9"/>
  <c r="M26" i="9" s="1"/>
  <c r="E26" i="9"/>
  <c r="K26" i="9" s="1"/>
  <c r="F25" i="9"/>
  <c r="M25" i="9" s="1"/>
  <c r="E25" i="9"/>
  <c r="K25" i="9" s="1"/>
  <c r="F24" i="9"/>
  <c r="M24" i="9" s="1"/>
  <c r="E24" i="9"/>
  <c r="K24" i="9" s="1"/>
  <c r="F23" i="9"/>
  <c r="M23" i="9" s="1"/>
  <c r="E23" i="9"/>
  <c r="K23" i="9" s="1"/>
  <c r="F22" i="9"/>
  <c r="M22" i="9" s="1"/>
  <c r="E22" i="9"/>
  <c r="K22" i="9" s="1"/>
  <c r="F21" i="9"/>
  <c r="M21" i="9" s="1"/>
  <c r="E21" i="9"/>
  <c r="F20" i="9"/>
  <c r="M20" i="9" s="1"/>
  <c r="E20" i="9"/>
  <c r="K20" i="9" s="1"/>
  <c r="F19" i="9"/>
  <c r="M19" i="9" s="1"/>
  <c r="E19" i="9"/>
  <c r="F18" i="9"/>
  <c r="M18" i="9" s="1"/>
  <c r="E18" i="9"/>
  <c r="K18" i="9" s="1"/>
  <c r="F17" i="9"/>
  <c r="M17" i="9" s="1"/>
  <c r="E17" i="9"/>
  <c r="F16" i="9"/>
  <c r="M16" i="9" s="1"/>
  <c r="E16" i="9"/>
  <c r="K16" i="9" s="1"/>
  <c r="F15" i="9"/>
  <c r="E15" i="9"/>
  <c r="F14" i="9"/>
  <c r="E14" i="9"/>
  <c r="K14" i="9" s="1"/>
  <c r="F13" i="9"/>
  <c r="E13" i="9"/>
  <c r="K13" i="9" s="1"/>
  <c r="F12" i="9"/>
  <c r="M12" i="9" s="1"/>
  <c r="E12" i="9"/>
  <c r="K12" i="9" s="1"/>
  <c r="F11" i="9"/>
  <c r="M11" i="9" s="1"/>
  <c r="E11" i="9"/>
  <c r="K11" i="9" s="1"/>
  <c r="F10" i="9"/>
  <c r="M10" i="9" s="1"/>
  <c r="E10" i="9"/>
  <c r="K10" i="9" s="1"/>
  <c r="F9" i="9"/>
  <c r="M9" i="9" s="1"/>
  <c r="E9" i="9"/>
  <c r="K9" i="9" s="1"/>
  <c r="F8" i="9"/>
  <c r="M8" i="9" s="1"/>
  <c r="E8" i="9"/>
  <c r="F7" i="9"/>
  <c r="E7" i="9"/>
  <c r="A5" i="9"/>
  <c r="A4" i="9"/>
  <c r="A3" i="9"/>
  <c r="A2" i="9"/>
  <c r="A1" i="9"/>
  <c r="A59" i="8"/>
  <c r="H58" i="8"/>
  <c r="B58" i="8"/>
  <c r="B53" i="8" s="1"/>
  <c r="A58" i="8"/>
  <c r="H56" i="8"/>
  <c r="H55" i="8"/>
  <c r="H54" i="8"/>
  <c r="H53" i="8"/>
  <c r="H52" i="8"/>
  <c r="H51" i="8"/>
  <c r="H50" i="8"/>
  <c r="H49" i="8"/>
  <c r="H48" i="8"/>
  <c r="I47" i="8"/>
  <c r="F47" i="8"/>
  <c r="E47" i="8"/>
  <c r="E58" i="8" s="1"/>
  <c r="C47" i="8"/>
  <c r="C58" i="8" s="1"/>
  <c r="C54" i="8" s="1"/>
  <c r="B47" i="8"/>
  <c r="J46" i="8"/>
  <c r="G46" i="8"/>
  <c r="D46" i="8"/>
  <c r="J45" i="8"/>
  <c r="G45" i="8"/>
  <c r="D45" i="8"/>
  <c r="J44" i="8"/>
  <c r="G44" i="8"/>
  <c r="D44" i="8"/>
  <c r="J43" i="8"/>
  <c r="G43" i="8"/>
  <c r="D43" i="8"/>
  <c r="J42" i="8"/>
  <c r="G42" i="8"/>
  <c r="D42" i="8"/>
  <c r="J41" i="8"/>
  <c r="G41" i="8"/>
  <c r="D41" i="8"/>
  <c r="J40" i="8"/>
  <c r="G40" i="8"/>
  <c r="D40" i="8"/>
  <c r="J39" i="8"/>
  <c r="G39" i="8"/>
  <c r="D39" i="8"/>
  <c r="J38" i="8"/>
  <c r="G38" i="8"/>
  <c r="E38" i="8"/>
  <c r="D38" i="8"/>
  <c r="J37" i="8"/>
  <c r="D37" i="8"/>
  <c r="J36" i="8"/>
  <c r="D36" i="8"/>
  <c r="J35" i="8"/>
  <c r="D35" i="8"/>
  <c r="J34" i="8"/>
  <c r="D34" i="8"/>
  <c r="J33" i="8"/>
  <c r="D33" i="8"/>
  <c r="J32" i="8"/>
  <c r="D32" i="8"/>
  <c r="J31" i="8"/>
  <c r="D31" i="8"/>
  <c r="J30" i="8"/>
  <c r="D30" i="8"/>
  <c r="J29" i="8"/>
  <c r="D29" i="8"/>
  <c r="J28" i="8"/>
  <c r="D28" i="8"/>
  <c r="J27" i="8"/>
  <c r="D27" i="8"/>
  <c r="J26" i="8"/>
  <c r="D26" i="8"/>
  <c r="J25" i="8"/>
  <c r="D25" i="8"/>
  <c r="J24" i="8"/>
  <c r="D24" i="8"/>
  <c r="J23" i="8"/>
  <c r="D23" i="8"/>
  <c r="J22" i="8"/>
  <c r="D22" i="8"/>
  <c r="J21" i="8"/>
  <c r="D21" i="8"/>
  <c r="J20" i="8"/>
  <c r="D20" i="8"/>
  <c r="J19" i="8"/>
  <c r="D19" i="8"/>
  <c r="J18" i="8"/>
  <c r="D18" i="8"/>
  <c r="J17" i="8"/>
  <c r="D17" i="8"/>
  <c r="J16" i="8"/>
  <c r="D16" i="8"/>
  <c r="J15" i="8"/>
  <c r="D15" i="8"/>
  <c r="J14" i="8"/>
  <c r="D14" i="8"/>
  <c r="J13" i="8"/>
  <c r="D13" i="8"/>
  <c r="J12" i="8"/>
  <c r="D12" i="8"/>
  <c r="J11" i="8"/>
  <c r="D11" i="8"/>
  <c r="J10" i="8"/>
  <c r="D10" i="8"/>
  <c r="J9" i="8"/>
  <c r="D9" i="8"/>
  <c r="J8" i="8"/>
  <c r="D8" i="8"/>
  <c r="J7" i="8"/>
  <c r="D7" i="8"/>
  <c r="A5" i="8"/>
  <c r="A4" i="8"/>
  <c r="A3" i="8"/>
  <c r="A2" i="8"/>
  <c r="A1" i="8"/>
  <c r="A17" i="1"/>
  <c r="F57" i="21" l="1"/>
  <c r="C57" i="21"/>
  <c r="H14" i="23"/>
  <c r="H26" i="23"/>
  <c r="H44" i="23"/>
  <c r="H12" i="23"/>
  <c r="H34" i="23"/>
  <c r="H40" i="23"/>
  <c r="H23" i="23"/>
  <c r="H35" i="23"/>
  <c r="J8" i="14"/>
  <c r="J14" i="14"/>
  <c r="D26" i="23"/>
  <c r="D41" i="23"/>
  <c r="D9" i="23"/>
  <c r="D12" i="23"/>
  <c r="J26" i="14"/>
  <c r="D35" i="23"/>
  <c r="J41" i="14"/>
  <c r="J44" i="14"/>
  <c r="J35" i="14"/>
  <c r="D10" i="23"/>
  <c r="D45" i="23"/>
  <c r="J30" i="14"/>
  <c r="J25" i="14"/>
  <c r="M15" i="9"/>
  <c r="G8" i="9"/>
  <c r="G7" i="9"/>
  <c r="G10" i="9"/>
  <c r="E53" i="9"/>
  <c r="G13" i="9"/>
  <c r="M7" i="9"/>
  <c r="M14" i="9"/>
  <c r="K8" i="9"/>
  <c r="G12" i="9"/>
  <c r="G9" i="9"/>
  <c r="G47" i="9"/>
  <c r="G14" i="9"/>
  <c r="K47" i="9"/>
  <c r="M13" i="9"/>
  <c r="E51" i="9"/>
  <c r="D30" i="24"/>
  <c r="H58" i="24"/>
  <c r="H57" i="21"/>
  <c r="H43" i="23"/>
  <c r="H15" i="23"/>
  <c r="H27" i="23"/>
  <c r="H13" i="23"/>
  <c r="H25" i="23"/>
  <c r="H41" i="23"/>
  <c r="E51" i="19"/>
  <c r="E54" i="19"/>
  <c r="E56" i="19"/>
  <c r="D25" i="23"/>
  <c r="D8" i="23"/>
  <c r="D43" i="23"/>
  <c r="D24" i="23"/>
  <c r="D27" i="23"/>
  <c r="D30" i="23"/>
  <c r="D42" i="23"/>
  <c r="C23" i="11"/>
  <c r="E23" i="11" s="1"/>
  <c r="C18" i="11"/>
  <c r="E18" i="11" s="1"/>
  <c r="C15" i="11"/>
  <c r="E15" i="11" s="1"/>
  <c r="C30" i="11"/>
  <c r="E30" i="11" s="1"/>
  <c r="C24" i="11"/>
  <c r="E24" i="11" s="1"/>
  <c r="C20" i="11"/>
  <c r="E20" i="11" s="1"/>
  <c r="C8" i="11"/>
  <c r="E8" i="11" s="1"/>
  <c r="C12" i="11"/>
  <c r="E12" i="11" s="1"/>
  <c r="C17" i="11"/>
  <c r="E17" i="11" s="1"/>
  <c r="F12" i="25"/>
  <c r="F15" i="25"/>
  <c r="G15" i="25"/>
  <c r="F18" i="25"/>
  <c r="H27" i="25"/>
  <c r="C22" i="10" s="1"/>
  <c r="L22" i="10" s="1"/>
  <c r="F27" i="25"/>
  <c r="F21" i="25"/>
  <c r="F29" i="25"/>
  <c r="H43" i="25"/>
  <c r="C38" i="10" s="1"/>
  <c r="L38" i="10" s="1"/>
  <c r="K43" i="25"/>
  <c r="F23" i="25"/>
  <c r="G29" i="25"/>
  <c r="E14" i="25"/>
  <c r="E9" i="8" s="1"/>
  <c r="G9" i="8" s="1"/>
  <c r="G23" i="25"/>
  <c r="G14" i="25"/>
  <c r="E18" i="25"/>
  <c r="E13" i="8" s="1"/>
  <c r="G13" i="8" s="1"/>
  <c r="G21" i="25"/>
  <c r="F34" i="25"/>
  <c r="G37" i="25"/>
  <c r="F14" i="25"/>
  <c r="H16" i="25"/>
  <c r="C11" i="10" s="1"/>
  <c r="L11" i="10" s="1"/>
  <c r="G34" i="25"/>
  <c r="F37" i="25"/>
  <c r="F16" i="25"/>
  <c r="F30" i="25"/>
  <c r="F32" i="25"/>
  <c r="E13" i="25"/>
  <c r="E8" i="8" s="1"/>
  <c r="G8" i="8" s="1"/>
  <c r="G16" i="25"/>
  <c r="G20" i="25"/>
  <c r="F24" i="25"/>
  <c r="F26" i="25"/>
  <c r="H28" i="25"/>
  <c r="C23" i="10" s="1"/>
  <c r="L23" i="10" s="1"/>
  <c r="F38" i="25"/>
  <c r="G13" i="25"/>
  <c r="F20" i="25"/>
  <c r="H22" i="25"/>
  <c r="C17" i="10" s="1"/>
  <c r="L17" i="10" s="1"/>
  <c r="F28" i="25"/>
  <c r="E35" i="25"/>
  <c r="E30" i="8" s="1"/>
  <c r="G30" i="8" s="1"/>
  <c r="H13" i="25"/>
  <c r="C8" i="10" s="1"/>
  <c r="L8" i="10" s="1"/>
  <c r="F22" i="25"/>
  <c r="G28" i="25"/>
  <c r="C62" i="25"/>
  <c r="G22" i="25"/>
  <c r="G35" i="25"/>
  <c r="H15" i="25"/>
  <c r="C10" i="10" s="1"/>
  <c r="L10" i="10" s="1"/>
  <c r="F17" i="25"/>
  <c r="E19" i="25"/>
  <c r="E14" i="8" s="1"/>
  <c r="G14" i="8" s="1"/>
  <c r="E40" i="25"/>
  <c r="E35" i="8" s="1"/>
  <c r="G35" i="8" s="1"/>
  <c r="E12" i="25"/>
  <c r="E7" i="8" s="1"/>
  <c r="G17" i="25"/>
  <c r="H31" i="25"/>
  <c r="C26" i="10" s="1"/>
  <c r="L26" i="10" s="1"/>
  <c r="E36" i="25"/>
  <c r="E31" i="8" s="1"/>
  <c r="G31" i="8" s="1"/>
  <c r="E42" i="25"/>
  <c r="E37" i="8" s="1"/>
  <c r="G37" i="8" s="1"/>
  <c r="F49" i="19"/>
  <c r="F50" i="19"/>
  <c r="F54" i="19"/>
  <c r="F53" i="19"/>
  <c r="F48" i="19"/>
  <c r="F51" i="19"/>
  <c r="G55" i="19"/>
  <c r="G54" i="19"/>
  <c r="G49" i="19"/>
  <c r="G48" i="19"/>
  <c r="G51" i="19"/>
  <c r="G56" i="19"/>
  <c r="H54" i="15"/>
  <c r="H56" i="15" s="1"/>
  <c r="H55" i="15"/>
  <c r="H50" i="15"/>
  <c r="H53" i="15"/>
  <c r="G48" i="11"/>
  <c r="H48" i="11" s="1"/>
  <c r="G50" i="11"/>
  <c r="H50" i="11" s="1"/>
  <c r="G55" i="11"/>
  <c r="G56" i="11" s="1"/>
  <c r="G54" i="11"/>
  <c r="G49" i="11"/>
  <c r="H49" i="11" s="1"/>
  <c r="G53" i="11"/>
  <c r="G52" i="11"/>
  <c r="G51" i="11"/>
  <c r="G47" i="8"/>
  <c r="C55" i="10"/>
  <c r="H47" i="11"/>
  <c r="H58" i="17"/>
  <c r="B59" i="24" s="1"/>
  <c r="B58" i="15"/>
  <c r="C49" i="8"/>
  <c r="B53" i="11"/>
  <c r="J55" i="12"/>
  <c r="E53" i="15"/>
  <c r="F49" i="17"/>
  <c r="B49" i="11"/>
  <c r="Q58" i="12"/>
  <c r="F50" i="17"/>
  <c r="B54" i="11"/>
  <c r="B56" i="11" s="1"/>
  <c r="F52" i="17"/>
  <c r="D62" i="12"/>
  <c r="D52" i="12" s="1"/>
  <c r="B57" i="11"/>
  <c r="B50" i="11"/>
  <c r="I47" i="14"/>
  <c r="C47" i="23" s="1"/>
  <c r="G49" i="10"/>
  <c r="B55" i="13"/>
  <c r="C51" i="10"/>
  <c r="G53" i="10"/>
  <c r="B51" i="11"/>
  <c r="D41" i="24"/>
  <c r="D25" i="24"/>
  <c r="D37" i="24"/>
  <c r="D13" i="24"/>
  <c r="D31" i="24"/>
  <c r="D43" i="24"/>
  <c r="D39" i="24"/>
  <c r="D24" i="24"/>
  <c r="Q17" i="12"/>
  <c r="C28" i="11"/>
  <c r="E28" i="11" s="1"/>
  <c r="C14" i="11"/>
  <c r="E14" i="11" s="1"/>
  <c r="C21" i="11"/>
  <c r="E21" i="11" s="1"/>
  <c r="Q36" i="12"/>
  <c r="C11" i="11"/>
  <c r="E11" i="11" s="1"/>
  <c r="C9" i="11"/>
  <c r="E9" i="11" s="1"/>
  <c r="C26" i="11"/>
  <c r="E26" i="11" s="1"/>
  <c r="B49" i="8"/>
  <c r="E55" i="8"/>
  <c r="E51" i="8"/>
  <c r="E52" i="8"/>
  <c r="E48" i="8"/>
  <c r="E53" i="8"/>
  <c r="E49" i="8"/>
  <c r="K7" i="9"/>
  <c r="G11" i="9"/>
  <c r="D47" i="8"/>
  <c r="C55" i="8"/>
  <c r="C51" i="8"/>
  <c r="C56" i="8"/>
  <c r="C52" i="8"/>
  <c r="C48" i="8"/>
  <c r="C50" i="8"/>
  <c r="C53" i="8"/>
  <c r="D53" i="8" s="1"/>
  <c r="E52" i="9"/>
  <c r="E54" i="9"/>
  <c r="E50" i="9"/>
  <c r="E48" i="9"/>
  <c r="E49" i="9"/>
  <c r="E50" i="8"/>
  <c r="K21" i="9"/>
  <c r="G21" i="9"/>
  <c r="M47" i="9"/>
  <c r="E56" i="9"/>
  <c r="B53" i="10"/>
  <c r="B55" i="10"/>
  <c r="B52" i="10"/>
  <c r="B48" i="10"/>
  <c r="B56" i="10"/>
  <c r="B49" i="10"/>
  <c r="B50" i="10"/>
  <c r="B51" i="10"/>
  <c r="O59" i="12"/>
  <c r="O60" i="12" s="1"/>
  <c r="O52" i="12"/>
  <c r="O53" i="12"/>
  <c r="O55" i="12"/>
  <c r="O58" i="12"/>
  <c r="O54" i="12"/>
  <c r="O57" i="12"/>
  <c r="O56" i="12"/>
  <c r="B56" i="14"/>
  <c r="B49" i="9"/>
  <c r="B51" i="9"/>
  <c r="B53" i="9"/>
  <c r="B54" i="9"/>
  <c r="B55" i="9"/>
  <c r="B56" i="9"/>
  <c r="K15" i="9"/>
  <c r="G15" i="9"/>
  <c r="K17" i="9"/>
  <c r="G17" i="9"/>
  <c r="E54" i="8"/>
  <c r="B52" i="9"/>
  <c r="E58" i="10"/>
  <c r="F58" i="10" s="1"/>
  <c r="N47" i="10"/>
  <c r="D55" i="10"/>
  <c r="D53" i="10"/>
  <c r="D52" i="10"/>
  <c r="D48" i="10"/>
  <c r="D49" i="10"/>
  <c r="D50" i="10"/>
  <c r="D54" i="10"/>
  <c r="D51" i="10"/>
  <c r="I58" i="8"/>
  <c r="J47" i="8"/>
  <c r="G7" i="8"/>
  <c r="K19" i="9"/>
  <c r="G19" i="9"/>
  <c r="B54" i="10"/>
  <c r="H57" i="8"/>
  <c r="B54" i="8"/>
  <c r="D54" i="8" s="1"/>
  <c r="B50" i="8"/>
  <c r="B55" i="8"/>
  <c r="B51" i="8"/>
  <c r="D51" i="8" s="1"/>
  <c r="B56" i="8"/>
  <c r="B52" i="8"/>
  <c r="D52" i="8" s="1"/>
  <c r="B48" i="8"/>
  <c r="B48" i="9"/>
  <c r="D58" i="8"/>
  <c r="I58" i="10"/>
  <c r="J47" i="10"/>
  <c r="C50" i="11"/>
  <c r="C48" i="11"/>
  <c r="C51" i="11"/>
  <c r="C52" i="11"/>
  <c r="C54" i="11"/>
  <c r="C53" i="11"/>
  <c r="C55" i="11"/>
  <c r="B53" i="12"/>
  <c r="B54" i="12"/>
  <c r="B55" i="12"/>
  <c r="B56" i="12"/>
  <c r="B58" i="12"/>
  <c r="B59" i="12"/>
  <c r="F62" i="12"/>
  <c r="B52" i="12"/>
  <c r="B11" i="23"/>
  <c r="D11" i="23" s="1"/>
  <c r="J11" i="14"/>
  <c r="B28" i="23"/>
  <c r="D28" i="23" s="1"/>
  <c r="J28" i="14"/>
  <c r="G52" i="10"/>
  <c r="G10" i="22"/>
  <c r="E58" i="22"/>
  <c r="F58" i="8"/>
  <c r="G58" i="8" s="1"/>
  <c r="H59" i="8"/>
  <c r="C58" i="9"/>
  <c r="L47" i="10"/>
  <c r="D58" i="11"/>
  <c r="Q55" i="12"/>
  <c r="B23" i="23"/>
  <c r="D23" i="23" s="1"/>
  <c r="J23" i="14"/>
  <c r="G25" i="9"/>
  <c r="G29" i="9"/>
  <c r="G33" i="9"/>
  <c r="C50" i="10"/>
  <c r="G54" i="10"/>
  <c r="E47" i="11"/>
  <c r="Q52" i="12"/>
  <c r="D47" i="14"/>
  <c r="H47" i="14"/>
  <c r="G23" i="9"/>
  <c r="G27" i="9"/>
  <c r="G31" i="9"/>
  <c r="D58" i="9"/>
  <c r="C49" i="10"/>
  <c r="F53" i="11"/>
  <c r="F51" i="11"/>
  <c r="H51" i="11" s="1"/>
  <c r="F54" i="11"/>
  <c r="H54" i="11" s="1"/>
  <c r="H58" i="11"/>
  <c r="F55" i="11"/>
  <c r="F52" i="11"/>
  <c r="H52" i="11" s="1"/>
  <c r="L36" i="12"/>
  <c r="B54" i="15"/>
  <c r="B55" i="15"/>
  <c r="B53" i="15"/>
  <c r="D53" i="15" s="1"/>
  <c r="E53" i="23" s="1"/>
  <c r="B49" i="15"/>
  <c r="B51" i="15"/>
  <c r="B48" i="15"/>
  <c r="D58" i="15"/>
  <c r="E58" i="23" s="1"/>
  <c r="B52" i="15"/>
  <c r="B50" i="15"/>
  <c r="F58" i="9"/>
  <c r="G58" i="9" s="1"/>
  <c r="C48" i="10"/>
  <c r="F51" i="12"/>
  <c r="D54" i="12"/>
  <c r="D59" i="12"/>
  <c r="C54" i="10"/>
  <c r="C52" i="10"/>
  <c r="B18" i="23"/>
  <c r="D18" i="23" s="1"/>
  <c r="J18" i="14"/>
  <c r="F51" i="14"/>
  <c r="F54" i="14"/>
  <c r="F49" i="14"/>
  <c r="F52" i="14"/>
  <c r="F55" i="14"/>
  <c r="F56" i="14" s="1"/>
  <c r="F50" i="14"/>
  <c r="F53" i="14"/>
  <c r="I58" i="15"/>
  <c r="H58" i="9"/>
  <c r="G50" i="10"/>
  <c r="L51" i="12"/>
  <c r="H62" i="12"/>
  <c r="B57" i="12"/>
  <c r="B56" i="13"/>
  <c r="B54" i="13"/>
  <c r="B52" i="13"/>
  <c r="B50" i="13"/>
  <c r="B48" i="13"/>
  <c r="B53" i="14"/>
  <c r="B48" i="14"/>
  <c r="B51" i="14"/>
  <c r="B54" i="14"/>
  <c r="B49" i="14"/>
  <c r="B52" i="14"/>
  <c r="D58" i="14"/>
  <c r="B50" i="14"/>
  <c r="J57" i="12"/>
  <c r="J58" i="12"/>
  <c r="J59" i="12"/>
  <c r="J60" i="12" s="1"/>
  <c r="J53" i="12"/>
  <c r="J56" i="12"/>
  <c r="C58" i="13"/>
  <c r="E47" i="13"/>
  <c r="I58" i="14"/>
  <c r="C58" i="23" s="1"/>
  <c r="C48" i="14"/>
  <c r="C51" i="14"/>
  <c r="C54" i="14"/>
  <c r="C49" i="14"/>
  <c r="C52" i="14"/>
  <c r="C55" i="14"/>
  <c r="D55" i="14" s="1"/>
  <c r="C53" i="14"/>
  <c r="G16" i="9"/>
  <c r="G18" i="9"/>
  <c r="G20" i="9"/>
  <c r="G22" i="9"/>
  <c r="G24" i="9"/>
  <c r="G26" i="9"/>
  <c r="G28" i="9"/>
  <c r="G30" i="9"/>
  <c r="G32" i="9"/>
  <c r="G34" i="9"/>
  <c r="F47" i="10"/>
  <c r="G48" i="10"/>
  <c r="J54" i="12"/>
  <c r="B53" i="13"/>
  <c r="B33" i="23"/>
  <c r="D33" i="23" s="1"/>
  <c r="J33" i="14"/>
  <c r="C50" i="14"/>
  <c r="Q60" i="12"/>
  <c r="Q53" i="12"/>
  <c r="Q54" i="12"/>
  <c r="Q56" i="12"/>
  <c r="Q59" i="12"/>
  <c r="J13" i="14"/>
  <c r="G55" i="10"/>
  <c r="G56" i="10" s="1"/>
  <c r="H58" i="10"/>
  <c r="L58" i="10" s="1"/>
  <c r="D58" i="13"/>
  <c r="D13" i="23"/>
  <c r="J15" i="14"/>
  <c r="J20" i="14"/>
  <c r="B46" i="23"/>
  <c r="D46" i="23" s="1"/>
  <c r="J46" i="14"/>
  <c r="H7" i="23"/>
  <c r="H49" i="15"/>
  <c r="J59" i="15"/>
  <c r="G27" i="22"/>
  <c r="B7" i="23"/>
  <c r="C54" i="15"/>
  <c r="C56" i="15" s="1"/>
  <c r="C50" i="15"/>
  <c r="C48" i="15"/>
  <c r="G58" i="22"/>
  <c r="I58" i="13"/>
  <c r="D16" i="23"/>
  <c r="D21" i="23"/>
  <c r="K47" i="15"/>
  <c r="F47" i="23" s="1"/>
  <c r="H47" i="23" s="1"/>
  <c r="E50" i="15"/>
  <c r="C52" i="15"/>
  <c r="B31" i="23"/>
  <c r="D31" i="23" s="1"/>
  <c r="J31" i="14"/>
  <c r="E58" i="14"/>
  <c r="H58" i="14" s="1"/>
  <c r="C55" i="15"/>
  <c r="F56" i="15"/>
  <c r="F51" i="15"/>
  <c r="E50" i="17"/>
  <c r="H54" i="19"/>
  <c r="H51" i="19"/>
  <c r="H49" i="19"/>
  <c r="H55" i="19"/>
  <c r="H52" i="19"/>
  <c r="H56" i="19"/>
  <c r="H53" i="19"/>
  <c r="H50" i="19"/>
  <c r="D14" i="23"/>
  <c r="J16" i="14"/>
  <c r="J21" i="14"/>
  <c r="F55" i="15"/>
  <c r="D12" i="24"/>
  <c r="D36" i="24"/>
  <c r="C58" i="17"/>
  <c r="B58" i="17"/>
  <c r="H48" i="19"/>
  <c r="E57" i="21"/>
  <c r="J9" i="14"/>
  <c r="B19" i="23"/>
  <c r="D19" i="23" s="1"/>
  <c r="J19" i="14"/>
  <c r="D29" i="23"/>
  <c r="D34" i="23"/>
  <c r="D40" i="23"/>
  <c r="J42" i="14"/>
  <c r="G47" i="14"/>
  <c r="F52" i="15"/>
  <c r="H48" i="15"/>
  <c r="H57" i="15" s="1"/>
  <c r="H51" i="15"/>
  <c r="H52" i="15"/>
  <c r="D47" i="17"/>
  <c r="I47" i="23" s="1"/>
  <c r="G50" i="17"/>
  <c r="G54" i="17"/>
  <c r="B59" i="18"/>
  <c r="B55" i="18"/>
  <c r="B58" i="18"/>
  <c r="B54" i="18"/>
  <c r="B57" i="18"/>
  <c r="B53" i="18"/>
  <c r="B60" i="18"/>
  <c r="B56" i="18"/>
  <c r="B52" i="18"/>
  <c r="D19" i="24"/>
  <c r="E49" i="17"/>
  <c r="E54" i="17"/>
  <c r="E55" i="17"/>
  <c r="H55" i="17" s="1"/>
  <c r="B56" i="24" s="1"/>
  <c r="E48" i="17"/>
  <c r="E53" i="17"/>
  <c r="E51" i="17"/>
  <c r="J7" i="14"/>
  <c r="D17" i="23"/>
  <c r="D22" i="23"/>
  <c r="J24" i="14"/>
  <c r="J29" i="14"/>
  <c r="D32" i="23"/>
  <c r="J34" i="14"/>
  <c r="J40" i="14"/>
  <c r="C51" i="15"/>
  <c r="F54" i="17"/>
  <c r="F48" i="17"/>
  <c r="F53" i="17"/>
  <c r="F51" i="17"/>
  <c r="F56" i="17"/>
  <c r="G15" i="22"/>
  <c r="S62" i="12"/>
  <c r="J12" i="14"/>
  <c r="J37" i="14"/>
  <c r="J45" i="14"/>
  <c r="K58" i="15"/>
  <c r="F58" i="23" s="1"/>
  <c r="H58" i="23" s="1"/>
  <c r="E55" i="15"/>
  <c r="E48" i="15"/>
  <c r="C49" i="15"/>
  <c r="E54" i="15"/>
  <c r="G52" i="17"/>
  <c r="G53" i="17"/>
  <c r="G51" i="17"/>
  <c r="G56" i="17"/>
  <c r="G49" i="17"/>
  <c r="B58" i="22"/>
  <c r="J17" i="14"/>
  <c r="D20" i="23"/>
  <c r="J22" i="14"/>
  <c r="J32" i="14"/>
  <c r="E51" i="15"/>
  <c r="F54" i="15"/>
  <c r="H47" i="17"/>
  <c r="B48" i="24" s="1"/>
  <c r="D48" i="24" s="1"/>
  <c r="C58" i="22"/>
  <c r="J10" i="14"/>
  <c r="J27" i="14"/>
  <c r="J43" i="14"/>
  <c r="E7" i="23"/>
  <c r="E49" i="15"/>
  <c r="C53" i="15"/>
  <c r="G48" i="17"/>
  <c r="E52" i="17"/>
  <c r="H52" i="17" s="1"/>
  <c r="B53" i="24" s="1"/>
  <c r="E56" i="17"/>
  <c r="C57" i="19"/>
  <c r="C59" i="19"/>
  <c r="D58" i="22"/>
  <c r="D44" i="23"/>
  <c r="D9" i="24"/>
  <c r="D15" i="24"/>
  <c r="D21" i="24"/>
  <c r="D27" i="24"/>
  <c r="D33" i="24"/>
  <c r="D45" i="24"/>
  <c r="G50" i="19"/>
  <c r="G53" i="19"/>
  <c r="F56" i="19"/>
  <c r="I58" i="19"/>
  <c r="B57" i="21"/>
  <c r="B62" i="25"/>
  <c r="D10" i="24"/>
  <c r="D16" i="24"/>
  <c r="D22" i="24"/>
  <c r="D28" i="24"/>
  <c r="D34" i="24"/>
  <c r="D40" i="24"/>
  <c r="D46" i="24"/>
  <c r="C62" i="18"/>
  <c r="E52" i="19"/>
  <c r="E55" i="19"/>
  <c r="D62" i="25"/>
  <c r="F52" i="19"/>
  <c r="F55" i="19"/>
  <c r="D11" i="24"/>
  <c r="D17" i="24"/>
  <c r="D23" i="24"/>
  <c r="D29" i="24"/>
  <c r="D35" i="24"/>
  <c r="D47" i="24"/>
  <c r="G52" i="19"/>
  <c r="G57" i="23"/>
  <c r="D8" i="24"/>
  <c r="D14" i="24"/>
  <c r="D20" i="24"/>
  <c r="D26" i="24"/>
  <c r="D32" i="24"/>
  <c r="D38" i="24"/>
  <c r="D44" i="24"/>
  <c r="G12" i="25"/>
  <c r="E17" i="25"/>
  <c r="E12" i="8" s="1"/>
  <c r="G12" i="8" s="1"/>
  <c r="G18" i="25"/>
  <c r="E23" i="25"/>
  <c r="E18" i="8" s="1"/>
  <c r="G18" i="8" s="1"/>
  <c r="G24" i="25"/>
  <c r="E29" i="25"/>
  <c r="E24" i="8" s="1"/>
  <c r="G24" i="8" s="1"/>
  <c r="G30" i="25"/>
  <c r="F35" i="25"/>
  <c r="G38" i="25"/>
  <c r="F40" i="25"/>
  <c r="J12" i="12"/>
  <c r="J15" i="12"/>
  <c r="J18" i="12"/>
  <c r="J21" i="12"/>
  <c r="J24" i="12"/>
  <c r="J27" i="12"/>
  <c r="J30" i="12"/>
  <c r="J32" i="12"/>
  <c r="J34" i="12"/>
  <c r="Q41" i="12"/>
  <c r="H12" i="25"/>
  <c r="H18" i="25"/>
  <c r="C13" i="10" s="1"/>
  <c r="L13" i="10" s="1"/>
  <c r="H24" i="25"/>
  <c r="C19" i="10" s="1"/>
  <c r="L19" i="10" s="1"/>
  <c r="H30" i="25"/>
  <c r="C25" i="10" s="1"/>
  <c r="L25" i="10" s="1"/>
  <c r="H38" i="25"/>
  <c r="C33" i="10" s="1"/>
  <c r="L33" i="10" s="1"/>
  <c r="G40" i="25"/>
  <c r="E44" i="25"/>
  <c r="Q15" i="12"/>
  <c r="Q18" i="12"/>
  <c r="Q21" i="12"/>
  <c r="Q24" i="12"/>
  <c r="Q27" i="12"/>
  <c r="Q30" i="12"/>
  <c r="Q32" i="12"/>
  <c r="Q34" i="12"/>
  <c r="J39" i="12"/>
  <c r="E16" i="25"/>
  <c r="E11" i="8" s="1"/>
  <c r="G11" i="8" s="1"/>
  <c r="E22" i="25"/>
  <c r="E17" i="8" s="1"/>
  <c r="G17" i="8" s="1"/>
  <c r="E28" i="25"/>
  <c r="E23" i="8" s="1"/>
  <c r="G23" i="8" s="1"/>
  <c r="E34" i="25"/>
  <c r="E29" i="8" s="1"/>
  <c r="G29" i="8" s="1"/>
  <c r="H35" i="25"/>
  <c r="C30" i="10" s="1"/>
  <c r="L30" i="10" s="1"/>
  <c r="H40" i="25"/>
  <c r="C35" i="10" s="1"/>
  <c r="L35" i="10" s="1"/>
  <c r="H44" i="25"/>
  <c r="Q39" i="12"/>
  <c r="H17" i="25"/>
  <c r="C12" i="10" s="1"/>
  <c r="L12" i="10" s="1"/>
  <c r="H23" i="25"/>
  <c r="C18" i="10" s="1"/>
  <c r="L18" i="10" s="1"/>
  <c r="H29" i="25"/>
  <c r="C24" i="10" s="1"/>
  <c r="L24" i="10" s="1"/>
  <c r="E37" i="25"/>
  <c r="J37" i="12"/>
  <c r="E15" i="25"/>
  <c r="E21" i="25"/>
  <c r="E16" i="8" s="1"/>
  <c r="G16" i="8" s="1"/>
  <c r="E27" i="25"/>
  <c r="E22" i="8" s="1"/>
  <c r="G22" i="8" s="1"/>
  <c r="E33" i="25"/>
  <c r="E28" i="8" s="1"/>
  <c r="G28" i="8" s="1"/>
  <c r="E39" i="25"/>
  <c r="E41" i="25"/>
  <c r="J14" i="12"/>
  <c r="J17" i="12"/>
  <c r="J20" i="12"/>
  <c r="J23" i="12"/>
  <c r="J26" i="12"/>
  <c r="J29" i="12"/>
  <c r="Q37" i="12"/>
  <c r="Q42" i="12"/>
  <c r="F33" i="25"/>
  <c r="H34" i="25"/>
  <c r="C29" i="10" s="1"/>
  <c r="L29" i="10" s="1"/>
  <c r="F39" i="25"/>
  <c r="H41" i="25"/>
  <c r="C36" i="10" s="1"/>
  <c r="L36" i="10" s="1"/>
  <c r="Q23" i="12"/>
  <c r="Q26" i="12"/>
  <c r="Q29" i="12"/>
  <c r="J35" i="12"/>
  <c r="E20" i="25"/>
  <c r="E15" i="8" s="1"/>
  <c r="G15" i="8" s="1"/>
  <c r="E26" i="25"/>
  <c r="E21" i="8" s="1"/>
  <c r="G21" i="8" s="1"/>
  <c r="G27" i="25"/>
  <c r="E32" i="25"/>
  <c r="E27" i="8" s="1"/>
  <c r="G27" i="8" s="1"/>
  <c r="G33" i="25"/>
  <c r="H37" i="25"/>
  <c r="C32" i="10" s="1"/>
  <c r="L32" i="10" s="1"/>
  <c r="G39" i="25"/>
  <c r="J31" i="12"/>
  <c r="J33" i="12"/>
  <c r="Q35" i="12"/>
  <c r="J40" i="12"/>
  <c r="H33" i="25"/>
  <c r="C28" i="10" s="1"/>
  <c r="L28" i="10" s="1"/>
  <c r="H39" i="25"/>
  <c r="C34" i="10" s="1"/>
  <c r="L34" i="10" s="1"/>
  <c r="Q31" i="12"/>
  <c r="Q33" i="12"/>
  <c r="Q40" i="12"/>
  <c r="E25" i="25"/>
  <c r="E20" i="8" s="1"/>
  <c r="G20" i="8" s="1"/>
  <c r="G26" i="25"/>
  <c r="E31" i="25"/>
  <c r="E26" i="8" s="1"/>
  <c r="G26" i="8" s="1"/>
  <c r="G32" i="25"/>
  <c r="F36" i="25"/>
  <c r="K36" i="25" s="1"/>
  <c r="H42" i="25"/>
  <c r="C37" i="10" s="1"/>
  <c r="L37" i="10" s="1"/>
  <c r="J13" i="12"/>
  <c r="J16" i="12"/>
  <c r="J19" i="12"/>
  <c r="J22" i="12"/>
  <c r="J25" i="12"/>
  <c r="J28" i="12"/>
  <c r="J38" i="12"/>
  <c r="F13" i="25"/>
  <c r="F62" i="25" s="1"/>
  <c r="H14" i="25"/>
  <c r="C9" i="10" s="1"/>
  <c r="L9" i="10" s="1"/>
  <c r="F19" i="25"/>
  <c r="K19" i="25" s="1"/>
  <c r="H20" i="25"/>
  <c r="C15" i="10" s="1"/>
  <c r="L15" i="10" s="1"/>
  <c r="F25" i="25"/>
  <c r="H26" i="25"/>
  <c r="C21" i="10" s="1"/>
  <c r="L21" i="10" s="1"/>
  <c r="H32" i="25"/>
  <c r="C27" i="10" s="1"/>
  <c r="L27" i="10" s="1"/>
  <c r="G36" i="25"/>
  <c r="Q13" i="12"/>
  <c r="Q16" i="12"/>
  <c r="Q19" i="12"/>
  <c r="Q22" i="12"/>
  <c r="Q25" i="12"/>
  <c r="Q28" i="12"/>
  <c r="E24" i="25"/>
  <c r="E19" i="8" s="1"/>
  <c r="G19" i="8" s="1"/>
  <c r="G25" i="25"/>
  <c r="E30" i="25"/>
  <c r="E25" i="8" s="1"/>
  <c r="G25" i="8" s="1"/>
  <c r="E38" i="25"/>
  <c r="I53" i="14" l="1"/>
  <c r="C53" i="23" s="1"/>
  <c r="F57" i="14"/>
  <c r="I50" i="14"/>
  <c r="C50" i="23" s="1"/>
  <c r="G59" i="10"/>
  <c r="D58" i="12"/>
  <c r="D53" i="12"/>
  <c r="D57" i="12"/>
  <c r="F57" i="12" s="1"/>
  <c r="D56" i="12"/>
  <c r="F56" i="12" s="1"/>
  <c r="D55" i="12"/>
  <c r="F55" i="12" s="1"/>
  <c r="K28" i="25"/>
  <c r="K40" i="25"/>
  <c r="K13" i="25"/>
  <c r="E62" i="25"/>
  <c r="K34" i="25"/>
  <c r="K27" i="25"/>
  <c r="K33" i="25"/>
  <c r="K35" i="25"/>
  <c r="K30" i="25"/>
  <c r="B57" i="9"/>
  <c r="F57" i="19"/>
  <c r="G57" i="11"/>
  <c r="D55" i="8"/>
  <c r="N58" i="10"/>
  <c r="C59" i="15"/>
  <c r="H59" i="19"/>
  <c r="D50" i="15"/>
  <c r="E50" i="23" s="1"/>
  <c r="O61" i="12"/>
  <c r="H59" i="15"/>
  <c r="C59" i="8"/>
  <c r="B57" i="13"/>
  <c r="D48" i="15"/>
  <c r="E48" i="23" s="1"/>
  <c r="H53" i="11"/>
  <c r="B59" i="11"/>
  <c r="G59" i="11"/>
  <c r="I54" i="14"/>
  <c r="C54" i="23" s="1"/>
  <c r="L24" i="12"/>
  <c r="C59" i="18"/>
  <c r="C55" i="18"/>
  <c r="C57" i="18"/>
  <c r="C53" i="18"/>
  <c r="C60" i="18"/>
  <c r="D60" i="18" s="1"/>
  <c r="C57" i="24" s="1"/>
  <c r="C56" i="18"/>
  <c r="D56" i="18" s="1"/>
  <c r="C53" i="24" s="1"/>
  <c r="D53" i="24" s="1"/>
  <c r="C52" i="18"/>
  <c r="C54" i="18"/>
  <c r="C58" i="18"/>
  <c r="G59" i="17"/>
  <c r="D52" i="18"/>
  <c r="B59" i="13"/>
  <c r="D55" i="11"/>
  <c r="D56" i="11" s="1"/>
  <c r="D53" i="11"/>
  <c r="E53" i="11" s="1"/>
  <c r="D51" i="11"/>
  <c r="D48" i="11"/>
  <c r="D50" i="11"/>
  <c r="D52" i="11"/>
  <c r="E52" i="11" s="1"/>
  <c r="D49" i="11"/>
  <c r="D54" i="11"/>
  <c r="C34" i="11"/>
  <c r="E34" i="11" s="1"/>
  <c r="C16" i="11"/>
  <c r="E16" i="11" s="1"/>
  <c r="H62" i="25"/>
  <c r="C7" i="10"/>
  <c r="L21" i="12"/>
  <c r="K21" i="25"/>
  <c r="K29" i="25"/>
  <c r="I51" i="14"/>
  <c r="C51" i="23" s="1"/>
  <c r="D52" i="14"/>
  <c r="I51" i="15"/>
  <c r="I55" i="15"/>
  <c r="I52" i="15"/>
  <c r="K52" i="15" s="1"/>
  <c r="F52" i="23" s="1"/>
  <c r="H52" i="23" s="1"/>
  <c r="I48" i="15"/>
  <c r="I53" i="15"/>
  <c r="K53" i="15" s="1"/>
  <c r="F53" i="23" s="1"/>
  <c r="H53" i="23" s="1"/>
  <c r="I50" i="15"/>
  <c r="I54" i="15"/>
  <c r="I56" i="15" s="1"/>
  <c r="I49" i="15"/>
  <c r="C56" i="10"/>
  <c r="D55" i="15"/>
  <c r="E55" i="23" s="1"/>
  <c r="B56" i="15"/>
  <c r="D56" i="15" s="1"/>
  <c r="E56" i="23" s="1"/>
  <c r="O63" i="12"/>
  <c r="L16" i="12"/>
  <c r="L23" i="12"/>
  <c r="K25" i="25"/>
  <c r="S52" i="12"/>
  <c r="S54" i="12"/>
  <c r="S55" i="12"/>
  <c r="S57" i="12"/>
  <c r="S53" i="12"/>
  <c r="S56" i="12"/>
  <c r="S59" i="12"/>
  <c r="S60" i="12" s="1"/>
  <c r="S58" i="12"/>
  <c r="H51" i="17"/>
  <c r="B52" i="24" s="1"/>
  <c r="H50" i="17"/>
  <c r="B51" i="24" s="1"/>
  <c r="F59" i="19"/>
  <c r="H52" i="10"/>
  <c r="L52" i="10" s="1"/>
  <c r="J58" i="10"/>
  <c r="H55" i="10"/>
  <c r="L55" i="10" s="1"/>
  <c r="H48" i="10"/>
  <c r="H53" i="10"/>
  <c r="H49" i="10"/>
  <c r="L49" i="10" s="1"/>
  <c r="H51" i="10"/>
  <c r="L51" i="10" s="1"/>
  <c r="H54" i="10"/>
  <c r="L54" i="10" s="1"/>
  <c r="H50" i="10"/>
  <c r="L50" i="10" s="1"/>
  <c r="I48" i="14"/>
  <c r="B59" i="14"/>
  <c r="D49" i="14"/>
  <c r="D54" i="15"/>
  <c r="E54" i="23" s="1"/>
  <c r="C50" i="9"/>
  <c r="C52" i="9"/>
  <c r="C54" i="9"/>
  <c r="C55" i="9"/>
  <c r="C56" i="9"/>
  <c r="C48" i="9"/>
  <c r="C53" i="9"/>
  <c r="C49" i="9"/>
  <c r="C51" i="9"/>
  <c r="F52" i="12"/>
  <c r="E54" i="11"/>
  <c r="D48" i="8"/>
  <c r="B57" i="8"/>
  <c r="G59" i="19"/>
  <c r="G57" i="19"/>
  <c r="D51" i="9"/>
  <c r="D53" i="9"/>
  <c r="D55" i="9"/>
  <c r="D56" i="9"/>
  <c r="D48" i="9"/>
  <c r="D49" i="9"/>
  <c r="D52" i="9"/>
  <c r="D54" i="9"/>
  <c r="D50" i="9"/>
  <c r="E58" i="11"/>
  <c r="C13" i="11"/>
  <c r="E13" i="11" s="1"/>
  <c r="C10" i="11"/>
  <c r="E10" i="11" s="1"/>
  <c r="C35" i="11"/>
  <c r="E35" i="11" s="1"/>
  <c r="L18" i="12"/>
  <c r="K32" i="25"/>
  <c r="H56" i="17"/>
  <c r="B57" i="24" s="1"/>
  <c r="K51" i="15"/>
  <c r="F51" i="23" s="1"/>
  <c r="H51" i="23" s="1"/>
  <c r="H53" i="17"/>
  <c r="B54" i="24" s="1"/>
  <c r="D53" i="18"/>
  <c r="B63" i="18"/>
  <c r="C57" i="15"/>
  <c r="D54" i="14"/>
  <c r="D56" i="10"/>
  <c r="K58" i="9"/>
  <c r="I49" i="14"/>
  <c r="D49" i="15"/>
  <c r="K18" i="25"/>
  <c r="L38" i="12"/>
  <c r="L13" i="12"/>
  <c r="L20" i="12"/>
  <c r="K15" i="25"/>
  <c r="E10" i="8"/>
  <c r="C7" i="11"/>
  <c r="F57" i="15"/>
  <c r="H48" i="17"/>
  <c r="E57" i="17"/>
  <c r="D57" i="18"/>
  <c r="C54" i="24" s="1"/>
  <c r="H57" i="19"/>
  <c r="F59" i="15"/>
  <c r="B58" i="23"/>
  <c r="D58" i="23" s="1"/>
  <c r="J58" i="14"/>
  <c r="H56" i="12"/>
  <c r="L56" i="12" s="1"/>
  <c r="H57" i="12"/>
  <c r="L57" i="12" s="1"/>
  <c r="H58" i="12"/>
  <c r="L58" i="12" s="1"/>
  <c r="H59" i="12"/>
  <c r="L62" i="12"/>
  <c r="H52" i="12"/>
  <c r="H55" i="12"/>
  <c r="L55" i="12" s="1"/>
  <c r="H54" i="12"/>
  <c r="L54" i="12" s="1"/>
  <c r="H53" i="12"/>
  <c r="D60" i="12"/>
  <c r="F52" i="8"/>
  <c r="G52" i="8" s="1"/>
  <c r="F48" i="8"/>
  <c r="G48" i="8" s="1"/>
  <c r="F53" i="8"/>
  <c r="G53" i="8" s="1"/>
  <c r="F49" i="8"/>
  <c r="F54" i="8"/>
  <c r="G54" i="8" s="1"/>
  <c r="F51" i="8"/>
  <c r="G51" i="8" s="1"/>
  <c r="F50" i="8"/>
  <c r="G50" i="8" s="1"/>
  <c r="F55" i="8"/>
  <c r="F56" i="8" s="1"/>
  <c r="B60" i="12"/>
  <c r="B63" i="12" s="1"/>
  <c r="F59" i="12"/>
  <c r="E51" i="11"/>
  <c r="D56" i="8"/>
  <c r="I53" i="8"/>
  <c r="J53" i="8" s="1"/>
  <c r="I49" i="8"/>
  <c r="J58" i="8"/>
  <c r="I54" i="8"/>
  <c r="J54" i="8" s="1"/>
  <c r="I50" i="8"/>
  <c r="J50" i="8" s="1"/>
  <c r="I51" i="8"/>
  <c r="J51" i="8" s="1"/>
  <c r="I48" i="8"/>
  <c r="I52" i="8"/>
  <c r="J52" i="8" s="1"/>
  <c r="I55" i="8"/>
  <c r="B59" i="9"/>
  <c r="G55" i="8"/>
  <c r="E56" i="8"/>
  <c r="C27" i="11"/>
  <c r="E27" i="11" s="1"/>
  <c r="K37" i="25"/>
  <c r="E32" i="8"/>
  <c r="G32" i="8" s="1"/>
  <c r="L34" i="12"/>
  <c r="G62" i="25"/>
  <c r="G57" i="17"/>
  <c r="K54" i="15"/>
  <c r="F54" i="23" s="1"/>
  <c r="H54" i="23" s="1"/>
  <c r="E56" i="15"/>
  <c r="E57" i="19"/>
  <c r="D62" i="18"/>
  <c r="C59" i="24" s="1"/>
  <c r="D59" i="24" s="1"/>
  <c r="B57" i="15"/>
  <c r="B51" i="17"/>
  <c r="B52" i="17"/>
  <c r="B50" i="17"/>
  <c r="D58" i="17"/>
  <c r="I58" i="23" s="1"/>
  <c r="B55" i="17"/>
  <c r="B48" i="17"/>
  <c r="B56" i="17"/>
  <c r="B54" i="17"/>
  <c r="B53" i="17"/>
  <c r="B49" i="17"/>
  <c r="K17" i="25"/>
  <c r="K50" i="15"/>
  <c r="F50" i="23" s="1"/>
  <c r="H50" i="23" s="1"/>
  <c r="C56" i="13"/>
  <c r="C54" i="13"/>
  <c r="C52" i="13"/>
  <c r="C50" i="13"/>
  <c r="C48" i="13"/>
  <c r="C53" i="13"/>
  <c r="E58" i="13"/>
  <c r="C51" i="13"/>
  <c r="C55" i="13"/>
  <c r="C49" i="13"/>
  <c r="D51" i="14"/>
  <c r="M58" i="9"/>
  <c r="F53" i="9"/>
  <c r="F55" i="9"/>
  <c r="F51" i="9"/>
  <c r="F48" i="9"/>
  <c r="F49" i="9"/>
  <c r="G49" i="9" s="1"/>
  <c r="F50" i="9"/>
  <c r="M50" i="9" s="1"/>
  <c r="F52" i="9"/>
  <c r="M52" i="9" s="1"/>
  <c r="F54" i="9"/>
  <c r="M54" i="9" s="1"/>
  <c r="F58" i="12"/>
  <c r="E48" i="11"/>
  <c r="E54" i="10"/>
  <c r="E56" i="10" s="1"/>
  <c r="E52" i="10"/>
  <c r="F52" i="10" s="1"/>
  <c r="E55" i="10"/>
  <c r="F55" i="10" s="1"/>
  <c r="E48" i="10"/>
  <c r="E53" i="10"/>
  <c r="E49" i="10"/>
  <c r="E50" i="10"/>
  <c r="E51" i="10"/>
  <c r="F51" i="10" s="1"/>
  <c r="D49" i="8"/>
  <c r="B59" i="8"/>
  <c r="K41" i="25"/>
  <c r="E36" i="8"/>
  <c r="G36" i="8" s="1"/>
  <c r="L19" i="12"/>
  <c r="C19" i="11"/>
  <c r="E19" i="11" s="1"/>
  <c r="C38" i="11"/>
  <c r="E38" i="11" s="1"/>
  <c r="L15" i="12"/>
  <c r="L17" i="12"/>
  <c r="Q12" i="12"/>
  <c r="K31" i="25"/>
  <c r="H54" i="17"/>
  <c r="B55" i="24" s="1"/>
  <c r="D54" i="18"/>
  <c r="C51" i="24" s="1"/>
  <c r="C51" i="17"/>
  <c r="C56" i="17"/>
  <c r="C50" i="17"/>
  <c r="C55" i="17"/>
  <c r="C48" i="17"/>
  <c r="C53" i="17"/>
  <c r="C52" i="17"/>
  <c r="C54" i="17"/>
  <c r="C49" i="17"/>
  <c r="D7" i="23"/>
  <c r="G57" i="10"/>
  <c r="D48" i="14"/>
  <c r="F56" i="11"/>
  <c r="H56" i="11" s="1"/>
  <c r="H55" i="11"/>
  <c r="H57" i="11" s="1"/>
  <c r="E50" i="11"/>
  <c r="C57" i="8"/>
  <c r="K39" i="25"/>
  <c r="E34" i="8"/>
  <c r="G34" i="8" s="1"/>
  <c r="K38" i="25"/>
  <c r="E33" i="8"/>
  <c r="G33" i="8" s="1"/>
  <c r="L28" i="12"/>
  <c r="L32" i="12"/>
  <c r="K16" i="25"/>
  <c r="C36" i="11"/>
  <c r="E36" i="11" s="1"/>
  <c r="L37" i="12"/>
  <c r="K12" i="25"/>
  <c r="K44" i="25"/>
  <c r="L30" i="12"/>
  <c r="L12" i="12"/>
  <c r="K22" i="25"/>
  <c r="K14" i="25"/>
  <c r="K23" i="25"/>
  <c r="K48" i="15"/>
  <c r="F59" i="17"/>
  <c r="E59" i="17"/>
  <c r="H59" i="17" s="1"/>
  <c r="B60" i="24" s="1"/>
  <c r="H49" i="17"/>
  <c r="B50" i="24" s="1"/>
  <c r="D58" i="18"/>
  <c r="C55" i="24" s="1"/>
  <c r="E51" i="14"/>
  <c r="G51" i="14" s="1"/>
  <c r="E54" i="14"/>
  <c r="E49" i="14"/>
  <c r="H49" i="14" s="1"/>
  <c r="G58" i="14"/>
  <c r="E52" i="14"/>
  <c r="G52" i="14" s="1"/>
  <c r="E55" i="14"/>
  <c r="E50" i="14"/>
  <c r="G50" i="14" s="1"/>
  <c r="E48" i="14"/>
  <c r="H48" i="14" s="1"/>
  <c r="E53" i="14"/>
  <c r="G53" i="14" s="1"/>
  <c r="J63" i="12"/>
  <c r="D53" i="14"/>
  <c r="F59" i="14"/>
  <c r="D52" i="15"/>
  <c r="E52" i="23" s="1"/>
  <c r="B57" i="14"/>
  <c r="D50" i="8"/>
  <c r="B59" i="10"/>
  <c r="L31" i="12"/>
  <c r="K20" i="25"/>
  <c r="D50" i="14"/>
  <c r="K49" i="15"/>
  <c r="F49" i="23" s="1"/>
  <c r="H49" i="23" s="1"/>
  <c r="E59" i="15"/>
  <c r="K55" i="15"/>
  <c r="F55" i="23" s="1"/>
  <c r="H55" i="23" s="1"/>
  <c r="D55" i="18"/>
  <c r="C52" i="24" s="1"/>
  <c r="E59" i="19"/>
  <c r="B47" i="23"/>
  <c r="D47" i="23" s="1"/>
  <c r="J47" i="14"/>
  <c r="F54" i="12"/>
  <c r="L26" i="12"/>
  <c r="L25" i="12"/>
  <c r="L40" i="12"/>
  <c r="L14" i="12"/>
  <c r="C31" i="11"/>
  <c r="E31" i="11" s="1"/>
  <c r="K26" i="25"/>
  <c r="I54" i="19"/>
  <c r="I51" i="19"/>
  <c r="I55" i="19"/>
  <c r="I52" i="19"/>
  <c r="I56" i="19"/>
  <c r="I53" i="19"/>
  <c r="I50" i="19"/>
  <c r="I48" i="19"/>
  <c r="I49" i="19"/>
  <c r="F57" i="17"/>
  <c r="D59" i="18"/>
  <c r="C56" i="24" s="1"/>
  <c r="D56" i="24" s="1"/>
  <c r="H59" i="22"/>
  <c r="I55" i="13"/>
  <c r="I53" i="13"/>
  <c r="H54" i="22" s="1"/>
  <c r="I51" i="13"/>
  <c r="H52" i="22" s="1"/>
  <c r="I49" i="13"/>
  <c r="I54" i="13"/>
  <c r="H55" i="22" s="1"/>
  <c r="I52" i="13"/>
  <c r="H53" i="22" s="1"/>
  <c r="I50" i="13"/>
  <c r="H51" i="22" s="1"/>
  <c r="I48" i="13"/>
  <c r="D56" i="13"/>
  <c r="D54" i="13"/>
  <c r="D52" i="13"/>
  <c r="D50" i="13"/>
  <c r="D48" i="13"/>
  <c r="D55" i="13"/>
  <c r="D53" i="13"/>
  <c r="D51" i="13"/>
  <c r="D49" i="13"/>
  <c r="Q63" i="12"/>
  <c r="C56" i="14"/>
  <c r="I56" i="14" s="1"/>
  <c r="C56" i="23" s="1"/>
  <c r="I55" i="14"/>
  <c r="C55" i="23" s="1"/>
  <c r="I53" i="10"/>
  <c r="I48" i="10"/>
  <c r="I49" i="10"/>
  <c r="I50" i="10"/>
  <c r="I51" i="10"/>
  <c r="I54" i="10"/>
  <c r="I52" i="10"/>
  <c r="I55" i="10"/>
  <c r="I56" i="10" s="1"/>
  <c r="F49" i="10"/>
  <c r="B57" i="10"/>
  <c r="E59" i="9"/>
  <c r="E57" i="9"/>
  <c r="C22" i="11"/>
  <c r="E22" i="11" s="1"/>
  <c r="C56" i="11"/>
  <c r="E56" i="11" s="1"/>
  <c r="E55" i="11"/>
  <c r="L35" i="12"/>
  <c r="L39" i="12"/>
  <c r="L27" i="12"/>
  <c r="C32" i="11"/>
  <c r="E32" i="11" s="1"/>
  <c r="L22" i="12"/>
  <c r="L33" i="12"/>
  <c r="C29" i="11"/>
  <c r="E29" i="11" s="1"/>
  <c r="L29" i="12"/>
  <c r="J11" i="12"/>
  <c r="C25" i="11"/>
  <c r="E25" i="11" s="1"/>
  <c r="C33" i="11"/>
  <c r="E33" i="11" s="1"/>
  <c r="K24" i="25"/>
  <c r="K42" i="25"/>
  <c r="B61" i="18"/>
  <c r="I52" i="14"/>
  <c r="C52" i="23" s="1"/>
  <c r="H55" i="9"/>
  <c r="H48" i="9"/>
  <c r="H49" i="9"/>
  <c r="H50" i="9"/>
  <c r="H51" i="9"/>
  <c r="H52" i="9"/>
  <c r="H53" i="9"/>
  <c r="H54" i="9"/>
  <c r="D51" i="15"/>
  <c r="E51" i="23" s="1"/>
  <c r="F53" i="12"/>
  <c r="F48" i="10"/>
  <c r="G48" i="9"/>
  <c r="E59" i="8"/>
  <c r="G49" i="8"/>
  <c r="N48" i="10" l="1"/>
  <c r="N56" i="10"/>
  <c r="N54" i="10"/>
  <c r="F54" i="10"/>
  <c r="N51" i="10"/>
  <c r="N52" i="10"/>
  <c r="K55" i="9"/>
  <c r="D63" i="12"/>
  <c r="K54" i="9"/>
  <c r="D59" i="8"/>
  <c r="E55" i="13"/>
  <c r="D53" i="17"/>
  <c r="I53" i="23" s="1"/>
  <c r="F56" i="10"/>
  <c r="K52" i="9"/>
  <c r="K50" i="9"/>
  <c r="N50" i="10"/>
  <c r="K48" i="9"/>
  <c r="N53" i="10"/>
  <c r="F50" i="10"/>
  <c r="N55" i="10"/>
  <c r="K53" i="9"/>
  <c r="E56" i="13"/>
  <c r="D51" i="17"/>
  <c r="I51" i="23" s="1"/>
  <c r="C59" i="14"/>
  <c r="K51" i="9"/>
  <c r="F53" i="10"/>
  <c r="B49" i="23"/>
  <c r="J49" i="14"/>
  <c r="B48" i="23"/>
  <c r="J48" i="14"/>
  <c r="C50" i="24"/>
  <c r="D50" i="24" s="1"/>
  <c r="D63" i="18"/>
  <c r="C60" i="24" s="1"/>
  <c r="D60" i="24" s="1"/>
  <c r="S63" i="12"/>
  <c r="C49" i="24"/>
  <c r="D61" i="18"/>
  <c r="G55" i="14"/>
  <c r="H55" i="14"/>
  <c r="E51" i="13"/>
  <c r="D54" i="17"/>
  <c r="I54" i="23" s="1"/>
  <c r="K56" i="15"/>
  <c r="F56" i="23" s="1"/>
  <c r="H56" i="23" s="1"/>
  <c r="E57" i="15"/>
  <c r="G56" i="8"/>
  <c r="F59" i="8"/>
  <c r="L59" i="12"/>
  <c r="H60" i="12"/>
  <c r="L60" i="12" s="1"/>
  <c r="D54" i="24"/>
  <c r="H56" i="10"/>
  <c r="J56" i="10" s="1"/>
  <c r="J55" i="10"/>
  <c r="I59" i="15"/>
  <c r="C59" i="13"/>
  <c r="E49" i="13"/>
  <c r="D57" i="10"/>
  <c r="J49" i="8"/>
  <c r="E7" i="11"/>
  <c r="C57" i="11"/>
  <c r="G50" i="9"/>
  <c r="D59" i="14"/>
  <c r="G54" i="9"/>
  <c r="J48" i="10"/>
  <c r="D59" i="10"/>
  <c r="H49" i="22"/>
  <c r="D56" i="17"/>
  <c r="I56" i="23" s="1"/>
  <c r="G59" i="8"/>
  <c r="I59" i="19"/>
  <c r="H50" i="14"/>
  <c r="D56" i="14"/>
  <c r="D57" i="14" s="1"/>
  <c r="D55" i="24"/>
  <c r="E59" i="10"/>
  <c r="M49" i="9"/>
  <c r="E53" i="13"/>
  <c r="D48" i="17"/>
  <c r="B57" i="17"/>
  <c r="F59" i="11"/>
  <c r="H59" i="11" s="1"/>
  <c r="F57" i="8"/>
  <c r="D57" i="24"/>
  <c r="J52" i="10"/>
  <c r="G48" i="14"/>
  <c r="D49" i="17"/>
  <c r="B59" i="17"/>
  <c r="D57" i="8"/>
  <c r="I57" i="19"/>
  <c r="G49" i="14"/>
  <c r="E59" i="14"/>
  <c r="G59" i="14" s="1"/>
  <c r="M48" i="9"/>
  <c r="E48" i="13"/>
  <c r="C57" i="13"/>
  <c r="D55" i="17"/>
  <c r="I55" i="23" s="1"/>
  <c r="F57" i="11"/>
  <c r="B59" i="15"/>
  <c r="D59" i="15" s="1"/>
  <c r="E59" i="23" s="1"/>
  <c r="G65" i="23" s="1"/>
  <c r="S61" i="12"/>
  <c r="D59" i="11"/>
  <c r="E49" i="11"/>
  <c r="C61" i="18"/>
  <c r="D59" i="13"/>
  <c r="G54" i="14"/>
  <c r="E56" i="14"/>
  <c r="C59" i="17"/>
  <c r="E57" i="10"/>
  <c r="M51" i="9"/>
  <c r="G51" i="9"/>
  <c r="E50" i="13"/>
  <c r="K49" i="9"/>
  <c r="L48" i="10"/>
  <c r="G10" i="8"/>
  <c r="G57" i="8" s="1"/>
  <c r="E57" i="8"/>
  <c r="E49" i="23"/>
  <c r="E57" i="23" s="1"/>
  <c r="D57" i="15"/>
  <c r="C59" i="9"/>
  <c r="C48" i="23"/>
  <c r="I57" i="14"/>
  <c r="I57" i="15"/>
  <c r="J53" i="10"/>
  <c r="L53" i="10"/>
  <c r="Q61" i="12"/>
  <c r="M55" i="9"/>
  <c r="F56" i="9"/>
  <c r="G55" i="9"/>
  <c r="D50" i="17"/>
  <c r="I50" i="23" s="1"/>
  <c r="C57" i="14"/>
  <c r="D51" i="24"/>
  <c r="H50" i="22"/>
  <c r="E52" i="13"/>
  <c r="H53" i="14"/>
  <c r="C59" i="10"/>
  <c r="M53" i="9"/>
  <c r="G53" i="9"/>
  <c r="E54" i="13"/>
  <c r="D52" i="17"/>
  <c r="I52" i="23" s="1"/>
  <c r="I56" i="8"/>
  <c r="J56" i="8" s="1"/>
  <c r="J55" i="8"/>
  <c r="D61" i="12"/>
  <c r="C49" i="23"/>
  <c r="I59" i="14"/>
  <c r="C59" i="23" s="1"/>
  <c r="H54" i="14"/>
  <c r="D59" i="9"/>
  <c r="G52" i="9"/>
  <c r="C57" i="9"/>
  <c r="J50" i="10"/>
  <c r="C57" i="10"/>
  <c r="L7" i="10"/>
  <c r="D57" i="11"/>
  <c r="C63" i="18"/>
  <c r="H56" i="9"/>
  <c r="H57" i="9" s="1"/>
  <c r="K62" i="25"/>
  <c r="F60" i="12"/>
  <c r="F63" i="12" s="1"/>
  <c r="L53" i="12"/>
  <c r="D57" i="9"/>
  <c r="J54" i="10"/>
  <c r="D52" i="24"/>
  <c r="B61" i="12"/>
  <c r="B49" i="24"/>
  <c r="H57" i="17"/>
  <c r="I59" i="10"/>
  <c r="D57" i="13"/>
  <c r="H56" i="22"/>
  <c r="I56" i="13"/>
  <c r="H57" i="22" s="1"/>
  <c r="N49" i="10"/>
  <c r="C57" i="17"/>
  <c r="H51" i="14"/>
  <c r="J48" i="8"/>
  <c r="J51" i="10"/>
  <c r="H52" i="14"/>
  <c r="C59" i="11"/>
  <c r="F48" i="23"/>
  <c r="K57" i="15"/>
  <c r="L52" i="12"/>
  <c r="J61" i="12"/>
  <c r="L11" i="12"/>
  <c r="I57" i="10"/>
  <c r="K59" i="15"/>
  <c r="F59" i="23" s="1"/>
  <c r="J49" i="10"/>
  <c r="H61" i="12" l="1"/>
  <c r="L61" i="12"/>
  <c r="F57" i="10"/>
  <c r="D48" i="23"/>
  <c r="E57" i="13"/>
  <c r="N59" i="10"/>
  <c r="I59" i="13"/>
  <c r="H60" i="22" s="1"/>
  <c r="F61" i="12"/>
  <c r="J57" i="8"/>
  <c r="I57" i="8"/>
  <c r="C58" i="24"/>
  <c r="B51" i="23"/>
  <c r="D51" i="23" s="1"/>
  <c r="J51" i="14"/>
  <c r="I48" i="23"/>
  <c r="D57" i="17"/>
  <c r="E57" i="11"/>
  <c r="L56" i="10"/>
  <c r="M56" i="9"/>
  <c r="G56" i="9"/>
  <c r="G57" i="9" s="1"/>
  <c r="D49" i="23"/>
  <c r="H48" i="23"/>
  <c r="H57" i="23" s="1"/>
  <c r="F57" i="23"/>
  <c r="F59" i="9"/>
  <c r="I57" i="13"/>
  <c r="E59" i="11"/>
  <c r="C57" i="23"/>
  <c r="H58" i="22"/>
  <c r="I59" i="8"/>
  <c r="J59" i="8" s="1"/>
  <c r="B50" i="23"/>
  <c r="D50" i="23" s="1"/>
  <c r="J50" i="14"/>
  <c r="H63" i="12"/>
  <c r="B52" i="23"/>
  <c r="D52" i="23" s="1"/>
  <c r="J52" i="14"/>
  <c r="G56" i="14"/>
  <c r="G57" i="14" s="1"/>
  <c r="H56" i="14"/>
  <c r="H59" i="14" s="1"/>
  <c r="I49" i="23"/>
  <c r="D59" i="17"/>
  <c r="I59" i="23" s="1"/>
  <c r="G68" i="23" s="1"/>
  <c r="F59" i="10"/>
  <c r="H59" i="10"/>
  <c r="J59" i="10" s="1"/>
  <c r="B54" i="23"/>
  <c r="D54" i="23" s="1"/>
  <c r="J54" i="14"/>
  <c r="L59" i="10"/>
  <c r="E57" i="14"/>
  <c r="H57" i="10"/>
  <c r="H59" i="23"/>
  <c r="G66" i="23"/>
  <c r="D49" i="24"/>
  <c r="D58" i="24" s="1"/>
  <c r="B58" i="24"/>
  <c r="B53" i="23"/>
  <c r="D53" i="23" s="1"/>
  <c r="J53" i="14"/>
  <c r="J57" i="10"/>
  <c r="E59" i="13"/>
  <c r="K56" i="9"/>
  <c r="H59" i="9"/>
  <c r="F57" i="9"/>
  <c r="B55" i="23"/>
  <c r="D55" i="23" s="1"/>
  <c r="J55" i="14"/>
  <c r="K59" i="9" l="1"/>
  <c r="B59" i="23"/>
  <c r="D59" i="23" s="1"/>
  <c r="J59" i="14"/>
  <c r="L63" i="12"/>
  <c r="I57" i="23"/>
  <c r="B56" i="23"/>
  <c r="D56" i="23" s="1"/>
  <c r="J56" i="14"/>
  <c r="J57" i="14" s="1"/>
  <c r="M59" i="9"/>
  <c r="G59" i="9"/>
  <c r="H57" i="14"/>
  <c r="D57" i="23" l="1"/>
  <c r="B57" i="23"/>
  <c r="G64" i="2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Altman, Masako N</author>
  </authors>
  <commentList>
    <comment ref="Q8" authorId="0" shapeId="0" xr:uid="{91ED905F-DB1F-4F88-8BFF-CC5DB75E2A3E}">
      <text>
        <r>
          <rPr>
            <b/>
            <sz val="9"/>
            <color indexed="81"/>
            <rFont val="Tahoma"/>
            <family val="2"/>
          </rPr>
          <t>Altman, Masako N:</t>
        </r>
        <r>
          <rPr>
            <sz val="9"/>
            <color indexed="81"/>
            <rFont val="Tahoma"/>
            <family val="2"/>
          </rPr>
          <t xml:space="preserve">
Assigned 300 A/F to Saucelito ID effective 4/14/2013, expires Feb. 2030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mreynoso</author>
    <author>Altman, Masako N</author>
    <author>fquirante</author>
    <author>MAltman</author>
  </authors>
  <commentList>
    <comment ref="B9" authorId="0" shapeId="0" xr:uid="{264C537A-68E6-4778-9F6F-1E141E38AE07}">
      <text>
        <r>
          <rPr>
            <b/>
            <sz val="12"/>
            <color indexed="81"/>
            <rFont val="Tahoma"/>
            <family val="2"/>
          </rPr>
          <t>mreynoso:</t>
        </r>
        <r>
          <rPr>
            <sz val="12"/>
            <color indexed="81"/>
            <rFont val="Tahoma"/>
            <family val="2"/>
          </rPr>
          <t xml:space="preserve">
Contract # 14-06-200-4305A-B, effective 2/27/2004, expires 2/28/06
5,000 AF/20,000 AF = .25
Percentage was updated this year.   Last year's 20% figure was incorrect.</t>
        </r>
      </text>
    </comment>
    <comment ref="D9" authorId="0" shapeId="0" xr:uid="{550490D0-B484-4A70-AEA2-47BF8A573E4E}">
      <text>
        <r>
          <rPr>
            <b/>
            <sz val="12"/>
            <color indexed="81"/>
            <rFont val="Tahoma"/>
            <family val="2"/>
          </rPr>
          <t>mreynoso:</t>
        </r>
        <r>
          <rPr>
            <sz val="12"/>
            <color indexed="81"/>
            <rFont val="Tahoma"/>
            <family val="2"/>
          </rPr>
          <t xml:space="preserve">
Contract # 7-07-20-W0055-IR8-B, effective 11/9/2004, expires 2/28/06</t>
        </r>
      </text>
    </comment>
    <comment ref="E9" authorId="1" shapeId="0" xr:uid="{5BAF71D1-2794-4313-BFF4-8A1617E3BEEA}">
      <text>
        <r>
          <rPr>
            <b/>
            <sz val="9"/>
            <color indexed="81"/>
            <rFont val="Tahoma"/>
            <family val="2"/>
          </rPr>
          <t>Altman, Masako 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Contract #I75r-2508E,  Exter ID assigned 400 A/F  to Tri-Valley ID effective 4/5/2013,expires Feb. 2013.</t>
        </r>
      </text>
    </comment>
    <comment ref="H9" authorId="1" shapeId="0" xr:uid="{79921928-8E93-4EA0-925F-6E8FD9FA50B4}">
      <text>
        <r>
          <rPr>
            <b/>
            <sz val="9"/>
            <color indexed="81"/>
            <rFont val="Tahoma"/>
            <family val="2"/>
          </rPr>
          <t>Altman, Masako 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Contract #14-06-200-1911X, Lewis Creek WD assigned 250 A/F to Hills Valley ID effective April  12, 2013.  Expires Feb 2030.</t>
        </r>
      </text>
    </comment>
    <comment ref="N9" authorId="0" shapeId="0" xr:uid="{03310CBF-BC22-4F38-8AF3-AE207B6719F4}">
      <text>
        <r>
          <rPr>
            <b/>
            <sz val="12"/>
            <color indexed="81"/>
            <rFont val="Tahoma"/>
            <family val="2"/>
          </rPr>
          <t>mreynoso:</t>
        </r>
        <r>
          <rPr>
            <sz val="12"/>
            <color indexed="81"/>
            <rFont val="Tahoma"/>
            <family val="2"/>
          </rPr>
          <t xml:space="preserve">
Contract Max 20,000 AF. Partial assignment of 5,000 AF to City of Tracy (M&amp;I)</t>
        </r>
      </text>
    </comment>
    <comment ref="R9" authorId="0" shapeId="0" xr:uid="{F57D0F0A-B2D9-4481-B912-77A2C2277B24}">
      <text>
        <r>
          <rPr>
            <b/>
            <sz val="12"/>
            <color indexed="81"/>
            <rFont val="Tahoma"/>
            <family val="2"/>
          </rPr>
          <t>mreynoso:</t>
        </r>
        <r>
          <rPr>
            <sz val="12"/>
            <color indexed="81"/>
            <rFont val="Tahoma"/>
            <family val="2"/>
          </rPr>
          <t xml:space="preserve">
Full assignment of 2,500 AF to WWD - SLC effective 11/9/2004</t>
        </r>
      </text>
    </comment>
    <comment ref="V9" authorId="2" shapeId="0" xr:uid="{C185E30E-0A87-4137-80F2-E0DA1273E384}">
      <text>
        <r>
          <rPr>
            <b/>
            <sz val="10"/>
            <color indexed="81"/>
            <rFont val="Tahoma"/>
            <family val="2"/>
          </rPr>
          <t>fquirante:</t>
        </r>
        <r>
          <rPr>
            <sz val="10"/>
            <color indexed="81"/>
            <rFont val="Tahoma"/>
            <family val="2"/>
          </rPr>
          <t xml:space="preserve">
Contract max is 7,700 AF.
Partial assignment of 1,200 AF to Kaweah Delta WCD.</t>
        </r>
      </text>
    </comment>
    <comment ref="X9" authorId="2" shapeId="0" xr:uid="{5C36DC65-B63E-4407-8907-563D1301BD7C}">
      <text>
        <r>
          <rPr>
            <b/>
            <sz val="10"/>
            <color indexed="81"/>
            <rFont val="Tahoma"/>
            <family val="2"/>
          </rPr>
          <t>fquirante:</t>
        </r>
        <r>
          <rPr>
            <sz val="10"/>
            <color indexed="81"/>
            <rFont val="Tahoma"/>
            <family val="2"/>
          </rPr>
          <t xml:space="preserve">
Contract max is 7,900 AF.  Partial assignment of 7,400 AF to Kaweah Delta WCD.
</t>
        </r>
      </text>
    </comment>
    <comment ref="Z9" authorId="1" shapeId="0" xr:uid="{EA7AD079-7E6C-4F7E-AECF-595C67451294}">
      <text>
        <r>
          <rPr>
            <b/>
            <sz val="9"/>
            <color indexed="81"/>
            <rFont val="Tahoma"/>
            <family val="2"/>
          </rPr>
          <t>Altman, Masako 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2"/>
            <color indexed="81"/>
            <rFont val="Tahoma"/>
            <family val="2"/>
          </rPr>
          <t>Contract max 1,450 A/F.  Assigned 250 A/F to Hills Valley ID effective April 2013</t>
        </r>
      </text>
    </comment>
    <comment ref="N26" authorId="3" shapeId="0" xr:uid="{2959F100-4184-4205-BAD2-6C45BDC76E1C}">
      <text>
        <r>
          <rPr>
            <b/>
            <sz val="9"/>
            <color indexed="81"/>
            <rFont val="Tahoma"/>
            <family val="2"/>
          </rPr>
          <t>MAltman:</t>
        </r>
        <r>
          <rPr>
            <sz val="9"/>
            <color indexed="81"/>
            <rFont val="Tahoma"/>
            <family val="2"/>
          </rPr>
          <t xml:space="preserve">
Includes unused</t>
        </r>
      </text>
    </comment>
  </commentList>
</comments>
</file>

<file path=xl/sharedStrings.xml><?xml version="1.0" encoding="utf-8"?>
<sst xmlns="http://schemas.openxmlformats.org/spreadsheetml/2006/main" count="4133" uniqueCount="471">
  <si>
    <t>IRR 2023 Sch A-13 F.Z25.XLSM</t>
  </si>
  <si>
    <t>09/20/2022</t>
  </si>
  <si>
    <t>CENTRAL VALLEY PROJECT</t>
  </si>
  <si>
    <t>SCHEDULE OF HISTORICAL (1981-2021) &amp; PROJECTED (2022-2030) IRRIGATION WATER DELIVERIES (IN ACRE FEET)</t>
  </si>
  <si>
    <t>FOR CALCULATION OF INDIVIDUAL CONTRACTOR PRORATED CONSTRUCTION COSTS AND RATE</t>
  </si>
  <si>
    <t>Black Butte D&amp;R</t>
  </si>
  <si>
    <t>Buchanan Unit</t>
  </si>
  <si>
    <t>Clear Creek Unit</t>
  </si>
  <si>
    <t>Colusa Basin Drain</t>
  </si>
  <si>
    <t>Corning Canal</t>
  </si>
  <si>
    <t>Cow Creek Unit</t>
  </si>
  <si>
    <t>Cross Valley Canal</t>
  </si>
  <si>
    <t>Delta-Mendota Canal</t>
  </si>
  <si>
    <t>Delta-Mendota Pool</t>
  </si>
  <si>
    <t>Friant Dam</t>
  </si>
  <si>
    <t>Friant-Kern Canal</t>
  </si>
  <si>
    <t>Hidden Unit</t>
  </si>
  <si>
    <t>Madera Canal</t>
  </si>
  <si>
    <t>New Melones D&amp;R</t>
  </si>
  <si>
    <t>Sacramento River - Shasta</t>
  </si>
  <si>
    <t>16 - 24</t>
  </si>
  <si>
    <t>Sacramento River - Willows</t>
  </si>
  <si>
    <t>San Felipe Unit</t>
  </si>
  <si>
    <t xml:space="preserve"> San Luis Canal - Tracy</t>
  </si>
  <si>
    <t xml:space="preserve"> San Luis Canal - Fresno</t>
  </si>
  <si>
    <t>26 - 27</t>
  </si>
  <si>
    <t>Tehama-Colusa Canal</t>
  </si>
  <si>
    <t>Delta-Mendota Exchange</t>
  </si>
  <si>
    <t>29 - 32</t>
  </si>
  <si>
    <t>Summary by Service Area</t>
  </si>
  <si>
    <t>33 - 35</t>
  </si>
  <si>
    <t>Assignments of Historical Water</t>
  </si>
  <si>
    <t>Footnotes</t>
  </si>
  <si>
    <t>Historical Deliveries (Do not delete)</t>
  </si>
  <si>
    <t xml:space="preserve">
YEAR</t>
  </si>
  <si>
    <t xml:space="preserve">
BLACK BUTTE D&amp;R -  4-E WD</t>
  </si>
  <si>
    <t>BLACK BUTTE D&amp;R - 
STONY CREEK WD</t>
  </si>
  <si>
    <t>BLACK BUTTE D&amp;R - 
TOTAL</t>
  </si>
  <si>
    <t xml:space="preserve">
BUCHANAN UNIT - CHOWCHILLA 
WD-BU</t>
  </si>
  <si>
    <t xml:space="preserve">
CLEAR CREEK UNIT - CLEAR CREEK CSD</t>
  </si>
  <si>
    <t>COLUSA BASIN DRAIN - 
COLUSA DRAIN MWC</t>
  </si>
  <si>
    <t>WD</t>
  </si>
  <si>
    <t>1981</t>
  </si>
  <si>
    <t>1982</t>
  </si>
  <si>
    <t>1983</t>
  </si>
  <si>
    <t>1984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</si>
  <si>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</si>
  <si>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</si>
  <si>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</si>
  <si>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</si>
  <si>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</si>
  <si>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</si>
  <si>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</si>
  <si>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</si>
  <si>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</si>
  <si>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</si>
  <si>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</si>
  <si>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</si>
  <si>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1997</t>
  </si>
  <si>
    <t>1998</t>
  </si>
  <si>
    <t>2000</t>
  </si>
  <si>
    <t>2001</t>
  </si>
  <si>
    <t>2002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</si>
  <si>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</si>
  <si>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</si>
  <si>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</si>
  <si>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</si>
  <si>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</si>
  <si>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</si>
  <si>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</si>
  <si>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</si>
  <si>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</si>
  <si>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</si>
  <si>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</si>
  <si>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</si>
  <si>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</si>
  <si>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</si>
  <si>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</si>
  <si>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</si>
  <si>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</si>
  <si>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</si>
  <si>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</si>
  <si>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</si>
  <si>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</si>
  <si>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</si>
  <si>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</si>
  <si>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</si>
  <si>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</si>
  <si>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</si>
  <si>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</si>
  <si>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</si>
  <si>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H&amp;P/T</t>
  </si>
  <si>
    <t>7 - Year Hist Avg (A-12)</t>
  </si>
  <si>
    <t>Projected Del. (A-2ba)</t>
  </si>
  <si>
    <t xml:space="preserve">
CORNING CANAL - CORNING WD </t>
  </si>
  <si>
    <t xml:space="preserve">
CORNING CANAL - PROBERTA
 WD</t>
  </si>
  <si>
    <t xml:space="preserve">
CORNING CANAL - THOMES CREEK 
WD</t>
  </si>
  <si>
    <t xml:space="preserve">
CORNING CANAL - TOTAL</t>
  </si>
  <si>
    <t xml:space="preserve">
COW CREEK UNIT - BELLA VISTA 
WD</t>
  </si>
  <si>
    <t xml:space="preserve">
CROSS VALLEY CANAL - COUNTY OF FRESNO</t>
  </si>
  <si>
    <t xml:space="preserve">
CROSS VALLEY CANAL -  COUNTY OF TULARE</t>
  </si>
  <si>
    <t xml:space="preserve">
CROSS VALLEY CANAL -  HILLS VALLEY ID</t>
  </si>
  <si>
    <t/>
  </si>
  <si>
    <t xml:space="preserve">
CROSS VALLEY CANAL - KERN-TULARE WD</t>
  </si>
  <si>
    <t xml:space="preserve">
CROSS VALLEY CANAL -LOWER TULE RIVER ID - CVC</t>
  </si>
  <si>
    <t xml:space="preserve">
CROSS VALLEY CANAL - PIXLEY
 ID</t>
  </si>
  <si>
    <t xml:space="preserve">
CROSS VALLEY CANAL - TRI-VALLEY WD</t>
  </si>
  <si>
    <t xml:space="preserve">
CROSS VALLEY CANAL - TOTAL</t>
  </si>
  <si>
    <t xml:space="preserve">
DELTA-MENDOTA CANAL - BANTA-CARBONA ID</t>
  </si>
  <si>
    <t xml:space="preserve">
DELTA-MENDOTA CANAL - BYRON BETHANY ID</t>
  </si>
  <si>
    <t xml:space="preserve">
DELTA-MENDOTA CANAL - DEL PUERTO
WD</t>
  </si>
  <si>
    <t>1999</t>
  </si>
  <si>
    <t xml:space="preserve">
DELTA-MENDOTA CANAL - EAGLE FIELD 
WD</t>
  </si>
  <si>
    <t xml:space="preserve">
DELTA-MENDOTA CANAL - MERCY SPRINGS  
WD  1/  </t>
  </si>
  <si>
    <t xml:space="preserve">
DELTA-MENDOTA CANAL - ORO LOMA 
WD  1/</t>
  </si>
  <si>
    <t xml:space="preserve">
DELTA-MENDOTA CANAL - PACHECO 
WD - DMC</t>
  </si>
  <si>
    <t xml:space="preserve">
DELTA-MENDOTA CANAL - PANOCHE 
WD - DMC</t>
  </si>
  <si>
    <t xml:space="preserve">
DELTA-MENDOTA CANAL - PATTERSON WD</t>
  </si>
  <si>
    <t xml:space="preserve">
DELTA-MENDOTA CANAL - SAN LUIS 
WD - DMC</t>
  </si>
  <si>
    <t xml:space="preserve">
DELTA-MENDOTA CANAL - WEST  SIDE
 ID  1/</t>
  </si>
  <si>
    <t>FOR CALCULATION OF INDIVIDUAL CONTRACTOR PRORATED CONSTRUCTION COSTS</t>
  </si>
  <si>
    <t xml:space="preserve">
DELTA-MENDOTA CANAL - WEST  STANISLAUS ID</t>
  </si>
  <si>
    <t xml:space="preserve">
DELTA-MENDOTA CANAL - TOTAL</t>
  </si>
  <si>
    <t xml:space="preserve">
COELHO
 TRUST</t>
  </si>
  <si>
    <t xml:space="preserve">
DELTA-MENDOTA POOL - FRESNO  SLOUGH WD</t>
  </si>
  <si>
    <t xml:space="preserve">
DELTA-MENDOTA POOL - LAGUNA WD</t>
  </si>
  <si>
    <t xml:space="preserve">
DELTA-MENDOTA POOL - RECL  DIST #1606</t>
  </si>
  <si>
    <t xml:space="preserve">
DELTA-MENDOTA POOL - TRANQUILLITY
 ID</t>
  </si>
  <si>
    <t xml:space="preserve">
DELTA-MENDOTA POOL - TRANQUILLITY PUD</t>
  </si>
  <si>
    <t xml:space="preserve">
DELTA-MENDOTA POOL - WESTLANDS 
WD - DMP</t>
  </si>
  <si>
    <t xml:space="preserve">
DELTA-MENDOTA POOL - TOTAL</t>
  </si>
  <si>
    <t xml:space="preserve">
FRIANT-KERN CANAL - ARVIN-EDISON WSD
CLASS 1   </t>
  </si>
  <si>
    <t xml:space="preserve">
FRIANT-KERN CANAL - ARVIN-EDISON WSD
CLASS 2</t>
  </si>
  <si>
    <t xml:space="preserve">
FRIANT-KERN CANAL - ARVIN-EDISON WSD
 TOTAL</t>
  </si>
  <si>
    <t xml:space="preserve">
FRIANT-KERN CANAL - EXETER
 ID
CLASS 1</t>
  </si>
  <si>
    <t xml:space="preserve">
FRIANT-KERN CANAL - EXETER
 ID
CLASS 2</t>
  </si>
  <si>
    <t xml:space="preserve">
FRIANT-KERN CANAL - EXETER
 ID
TOTAL</t>
  </si>
  <si>
    <t xml:space="preserve">
FRIANT-KERN CANAL - FRESNO 
ID
 CLASS 1</t>
  </si>
  <si>
    <t xml:space="preserve">
FRIANT-KERN CANAL - FRESNO 
ID 
CLASS 2</t>
  </si>
  <si>
    <t xml:space="preserve">
FRIANT-KERN CANAL - FRESNO
 ID 
TOTAL</t>
  </si>
  <si>
    <t>FKC</t>
  </si>
  <si>
    <t xml:space="preserve">
FRIANT-KERN CANAL -KAWEAH DELTA WCD   1/
CLASS 1</t>
  </si>
  <si>
    <t xml:space="preserve">
FRIANT-KERN CANAL -KAWEAH DELTA WCD   1/
CLASS 2</t>
  </si>
  <si>
    <t>Page 9</t>
  </si>
  <si>
    <t>Page 10</t>
  </si>
  <si>
    <t xml:space="preserve">
FRIANT-KERN CANAL - SHAFTER-WASCO 
ID
 CLASS 1</t>
  </si>
  <si>
    <t xml:space="preserve">
FRIANT-KERN CANAL - SHAFTER-WASCO
 ID
CLASS 2</t>
  </si>
  <si>
    <t xml:space="preserve">
FRIANT-KERN CANAL - SHAFTER-WASCO 
ID
TOTAL   </t>
  </si>
  <si>
    <t xml:space="preserve">
FRIANT-KERN CANAL - STONE CORRAL
 ID
CLASS 1  </t>
  </si>
  <si>
    <t xml:space="preserve">
FRIANT-KERN CANAL - TEA POT DOME WD
 CLASS 1  </t>
  </si>
  <si>
    <t xml:space="preserve">
FRIANT-KERN CANAL - TERRA BELLA 
ID
 CLASS 1  </t>
  </si>
  <si>
    <t xml:space="preserve">
FRIANT-KERN CANAL FRIANT (FKC) - MADERA
ID -HU</t>
  </si>
  <si>
    <t xml:space="preserve">
MADERA CANAL (MC) - CHOWCHILLA 
WD - MC
 CLASS 1</t>
  </si>
  <si>
    <t xml:space="preserve">
MADERA CANAL (MC) - CHOWCHILLA
 WD - MC
 CLASS 2</t>
  </si>
  <si>
    <t xml:space="preserve">
MADERA CANAL (MC) - CHOWCHILLA 
WD - MC
 TOTAL</t>
  </si>
  <si>
    <t xml:space="preserve">
MADERA CANAL (MC) - MADERA
 ID - MC 
CLASS 1  </t>
  </si>
  <si>
    <t xml:space="preserve">
MADERA CANAL (MC) - MADERA 
ID - MC
 CLASS 2</t>
  </si>
  <si>
    <t xml:space="preserve">
MADERA CANAL (MC) - MADERA 
ID - MC TOTAL</t>
  </si>
  <si>
    <t xml:space="preserve">
MADERA CANAL (MC) - MC TOTAL
 CLASS 1  </t>
  </si>
  <si>
    <t xml:space="preserve">
MADERA CANAL (MC) - MC TOTAL 
CLASS 2</t>
  </si>
  <si>
    <t xml:space="preserve">
SACRAMENTO RIVER - WILLOWS - ANDERSON,
 A</t>
  </si>
  <si>
    <t xml:space="preserve">
SACRAMENTO RIVER - WILLOWS - ANDERSON,
 R &amp; J</t>
  </si>
  <si>
    <t xml:space="preserve">
SACRAMENTO RIVER - WILLOWS - ANDREOTTI, 
A/ET AL</t>
  </si>
  <si>
    <t xml:space="preserve">
SACRAMENTO RIVER - WILLOWS - B &amp; D FAMILY PARTNERSHIP  *</t>
  </si>
  <si>
    <t xml:space="preserve">
SACRAMENTO RIVER - WILLOWS - BABER,
J/ET AL</t>
  </si>
  <si>
    <t xml:space="preserve">
SACRAMENTO RIVER - WILLOWS - BUTLER,   DIANE</t>
  </si>
  <si>
    <t xml:space="preserve">
SACRAMENTO RIVER - WILLOWS - BUTTE CREEK FARMS INC</t>
  </si>
  <si>
    <t xml:space="preserve">
SACRAMENTO RIVER - WILLOWS - BYRD,
A &amp; OSBORNE, J</t>
  </si>
  <si>
    <t xml:space="preserve">
SACRAMENTO RIVER - WILLOWS - CACHIL DEHE BAND OF WINTUN</t>
  </si>
  <si>
    <t xml:space="preserve">
SACRAMENTO RIVER - WILLOWS - CARTER
MWC</t>
  </si>
  <si>
    <t xml:space="preserve">
SACRAMENTO RIVER - WILLOWS - CHARTER, M</t>
  </si>
  <si>
    <t xml:space="preserve">
SACRAMENTO RIVER - WILLOWS - CHURKIN, M JR &amp; C</t>
  </si>
  <si>
    <t xml:space="preserve">
SACRAMENTO RIVER - WILLOWS - CONAWAY CONSV GRP</t>
  </si>
  <si>
    <t xml:space="preserve">
SACRAMENTO RIVER - WILLOWS - COUNTY OF SACRAMENTO</t>
  </si>
  <si>
    <t xml:space="preserve">
SACRAMENTO RIVER - WILLOWS - CUMMINGS, W</t>
  </si>
  <si>
    <t xml:space="preserve">
SACRAMENTO RIVER - WILLOWS - DRIVER, GARY/ET AL</t>
  </si>
  <si>
    <t xml:space="preserve">
SACRAMENTO RIVER - WILLOWS - DRIVER, 
J &amp; C TRUSTEES</t>
  </si>
  <si>
    <t xml:space="preserve">
SACRAMENTO RIVER - WILLOWS - DRIVER,
GREGORY  </t>
  </si>
  <si>
    <t xml:space="preserve">
SACRAMENTO RIVER - WILLOWS - DRIVER, W/ ET AL</t>
  </si>
  <si>
    <t xml:space="preserve">
SACRAMENTO RIVER - WILLOWS - DYER, J 
&amp;
 WING, J</t>
  </si>
  <si>
    <t xml:space="preserve">
SACRAMENTO RIVER - WILLOWS - EASTSIDE MWC</t>
  </si>
  <si>
    <t xml:space="preserve">
SACRAMENTO RIVER - WILLOWS - EHRKE A &amp; B</t>
  </si>
  <si>
    <t xml:space="preserve">
SACRAMENTO RIVER - WILLOWS - EMPIRE  GROUP,
 LLC</t>
  </si>
  <si>
    <t xml:space="preserve">
SACRAMENTO RIVER - WILLOWS - FEATHER WD</t>
  </si>
  <si>
    <t xml:space="preserve">
SACRAMENTO RIVER - WILLOWS - FEDORA, S/ TAYLOR, W</t>
  </si>
  <si>
    <t>SACRAMENTO RIVER - WILLOWS - FOUR CORNERS FARMLAND</t>
  </si>
  <si>
    <t xml:space="preserve">
SACRAMENTO RIVER - WILLOWS - GILLASPY, W</t>
  </si>
  <si>
    <t xml:space="preserve">
SACRAMENTO RIVER - WILLOWS - GIUSTI, 
R &amp; S</t>
  </si>
  <si>
    <t xml:space="preserve">
SACRAMENTO RIVER - WILLOWS - GLENN-COLUSA ID</t>
  </si>
  <si>
    <t xml:space="preserve">
SACRAMENTO RIVER - WILLOWS - GREEN VALLEY
CORP </t>
  </si>
  <si>
    <t xml:space="preserve">
SACRAMENTO RIVER - WILLOWS - GRIFFIN, J/
PRATER</t>
  </si>
  <si>
    <t xml:space="preserve">
SACRAMENTO RIVER - WILLOWS - HALE, J/ MARKS, A</t>
  </si>
  <si>
    <t xml:space="preserve">
SACRAMENTO RIVER - WILLOWS - HATFIELD,
 R &amp; B</t>
  </si>
  <si>
    <t xml:space="preserve">
SACRAMENTO RIVER - WILLOWS - HEIDRICK &amp; McGINNIS PROPERTIES
ASSIGNMENT *</t>
  </si>
  <si>
    <t xml:space="preserve">
SACRAMENTO RIVER - WILLOWS - HEIDRICK, M</t>
  </si>
  <si>
    <t xml:space="preserve">
SACRAMENTO RIVER - WILLOWS - HOWALD FARMS INC</t>
  </si>
  <si>
    <t xml:space="preserve">
SACRAMENTO RIVER - WILLOWS - JAEGER,
W &amp; P</t>
  </si>
  <si>
    <t xml:space="preserve">
SACRAMENTO RIVER - WILLOWS - JANSEN, 
P &amp; S</t>
  </si>
  <si>
    <t xml:space="preserve">
SACRAMENTO RIVER - WILLOWS - KARY, C</t>
  </si>
  <si>
    <t xml:space="preserve">
SACRAMENTO RIVER - WILLOWS - KING, BEN</t>
  </si>
  <si>
    <t xml:space="preserve">
SACRAMENTO RIVER - WILLOWS - KING, L</t>
  </si>
  <si>
    <t xml:space="preserve">
SACRAMENTO RIVER - WILLOWS - KLSY, LLC</t>
  </si>
  <si>
    <t xml:space="preserve">
SACRAMENTO RIVER - WILLOWS - KNIGHTS LANDING INVESTORS</t>
  </si>
  <si>
    <t xml:space="preserve">
SACRAMENTO RIVER - WILLOWS - KNIGHTS LANDING PROPERTIES * </t>
  </si>
  <si>
    <t>SACRAMENTO RIVER - WILLOWS - L C DENNIS COMPANY</t>
  </si>
  <si>
    <t xml:space="preserve">
SACRAMENTO RIVER - WILLOWS - LAUPPE ALAN, JOHNSON, J &amp; LAUPPE, W  *</t>
  </si>
  <si>
    <t xml:space="preserve">
SACRAMENTO RIVER - WILLOWS - LAUPPE,
 B ET UX</t>
  </si>
  <si>
    <t xml:space="preserve">
SACRAMENTO RIVER - WILLOWS - LAUPPE  B 
B &amp; K (ATP)</t>
  </si>
  <si>
    <t xml:space="preserve">
SACRAMENTO RIVER - WILLOWS - LEONARD, JAMES</t>
  </si>
  <si>
    <t xml:space="preserve">
SACRAMENTO RIVER - WILLOWS - LOCKETT, 
W &amp; J</t>
  </si>
  <si>
    <t xml:space="preserve">
SACRAMENTO RIVER - WILLOWS - LOMO CS
 &amp;
 MICHELI, J</t>
  </si>
  <si>
    <t xml:space="preserve">
SACRAMENTO RIVER - WILLOWS - LONON, 
M</t>
  </si>
  <si>
    <t xml:space="preserve">
SACRAMENTO RIVER - WILLOWS - M C M PROPERTIES</t>
  </si>
  <si>
    <t xml:space="preserve">
SACRAMENTO RIVER - WILLOWS - MAXWELL 
ID</t>
  </si>
  <si>
    <t xml:space="preserve">
SACRAMENTO RIVER - WILLOWS - MCCLATCHY'
PARTNERS</t>
  </si>
  <si>
    <t xml:space="preserve">
SACRAMENTO RIVER - WILLOWS - MERIDIAN FARMS WC</t>
  </si>
  <si>
    <t xml:space="preserve">
SACRAMENTO RIVER - WILLOWS - MICKE,
 D &amp; N</t>
  </si>
  <si>
    <t xml:space="preserve">
SACRAMENTO RIVER - WILLOWS - MOREHEAD, J/ ET UX</t>
  </si>
  <si>
    <t xml:space="preserve">
SACRAMENTO RIVER - WILLOWS - MUNSON,
 J &amp; D</t>
  </si>
  <si>
    <t xml:space="preserve">
SACRAMENTO RIVER - WILLOWS - NATOMAS BASIN CONSERV</t>
  </si>
  <si>
    <t xml:space="preserve">
SACRAMENTO RIVER - WILLOWS - NATOMAS CENTRAL MWC</t>
  </si>
  <si>
    <t xml:space="preserve">
SACRAMENTO RIVER - WILLOWS - NELSON, HENRY E</t>
  </si>
  <si>
    <t xml:space="preserve">
SACRAMENTO RIVER - WILLOWS - O'BRIEN, 
J &amp; F</t>
  </si>
  <si>
    <t xml:space="preserve">
SACRAMENTO RIVER - WILLOWS - ODYSSEUS FARMS PRTNRSHP</t>
  </si>
  <si>
    <t xml:space="preserve">
SACRAMENTO RIVER - WILLOWS - OJI BROS FARM INC.</t>
  </si>
  <si>
    <t xml:space="preserve">
SACRAMENTO RIVER - WILLOWS - OJI, 
M/ET AL</t>
  </si>
  <si>
    <t xml:space="preserve">
SACRAMENTO RIVER - WILLOWS - PACIFIC REALTY INC</t>
  </si>
  <si>
    <t xml:space="preserve">
SACRAMENTO RIVER - WILLOWS - PELGER MWC</t>
  </si>
  <si>
    <t xml:space="preserve">SACRAMENTO RIVER - WILLOWS - 
PELGER ROAD 1700, LLC </t>
  </si>
  <si>
    <t xml:space="preserve">
SACRAMENTO RIVER - WILLOWS - PENNER, 
R &amp; L</t>
  </si>
  <si>
    <t xml:space="preserve">
SACRAMENTO RIVER - WILLOWS - PLEASANT GRV 
VRNA MWC</t>
  </si>
  <si>
    <t xml:space="preserve">
SACRAMENTO RIVER - WILLOWS - PRINCETON- 
CODORA-
GLENN ID</t>
  </si>
  <si>
    <t xml:space="preserve">
SACRAMENTO RIVER - WILLOWS - PROVIDENT 
ID</t>
  </si>
  <si>
    <t xml:space="preserve">
SACRAMENTO RIVER - WILLOWS - QUAD-H- RANCHES INC</t>
  </si>
  <si>
    <t xml:space="preserve">
SACRAMENTO RIVER - WILLOWS - RECL DIST 
# 108</t>
  </si>
  <si>
    <t xml:space="preserve">
SACRAMENTO RIVER - WILLOWS - RECL DIST #1000</t>
  </si>
  <si>
    <t xml:space="preserve">
SACRAMENTO RIVER - WILLOWS - RECL DIST #1004</t>
  </si>
  <si>
    <t xml:space="preserve">
SACRAMENTO RIVER - WILLOWS - REISCHE,
 E</t>
  </si>
  <si>
    <t xml:space="preserve">
SACRAMENTO RIVER - WILLOWS - SACRAMENTO RIVER - WILLOWS - REISCHE,
 L</t>
  </si>
  <si>
    <t xml:space="preserve">
SACRAMENTO RIVER - WILLOWS - RICHTER, H JR/ET AL</t>
  </si>
  <si>
    <t xml:space="preserve">
SACRAMENTO RIVER - WILLOWS - RIVER GARDEN FARMS CO.</t>
  </si>
  <si>
    <t xml:space="preserve">
SACRAMENTO RIVER - WILLOWS - ROBERTS DITCH 
IRR CO</t>
  </si>
  <si>
    <t xml:space="preserve">
SACRAMENTO RIVER - WILLOWS - RUBIO, 
E &amp; E</t>
  </si>
  <si>
    <t xml:space="preserve">
SACRAMENTO RIVER - WILLOWS - SAEED
 F  </t>
  </si>
  <si>
    <t xml:space="preserve">
SACRAMENTO RIVER - WILLOWS - SEAVER, C</t>
  </si>
  <si>
    <t xml:space="preserve">
SACRAMENTO RIVER - WILLOWS - SUTTER MWC</t>
  </si>
  <si>
    <t xml:space="preserve">
SACRAMENTO RIVER - WILLOWS - SWENSON FARMS </t>
  </si>
  <si>
    <t xml:space="preserve">
SACRAMENTO RIVER - WILLOWS - SYCAMORE  MUTUAL WATER COMPANY  </t>
  </si>
  <si>
    <t xml:space="preserve">
SACRAMENTO RIVER - WILLOWS - T &amp; P FARMS</t>
  </si>
  <si>
    <t xml:space="preserve">
SACRAMENTO RIVER - WILLOWS - TARKE, S</t>
  </si>
  <si>
    <t xml:space="preserve">
SACRAMENTO RIVER - WILLOWS - TISDALE IRR &amp; DRAIN CO</t>
  </si>
  <si>
    <t xml:space="preserve">
SACRAMENTO RIVER - WILLOWS - VAN  
RUITEN
 BROS. 
1415L</t>
  </si>
  <si>
    <t xml:space="preserve">
SACRAMENTO RIVER - WILLOWS - VAN RUITEN BROS. 520XL</t>
  </si>
  <si>
    <t xml:space="preserve">
SACRAMENTO RIVER - WILLOWS - VAN RUITEN BROS. 0880S</t>
  </si>
  <si>
    <t xml:space="preserve">
SACRAMENTO RIVER - WILLOWS - VAN RUITEN BROS. 880XR</t>
  </si>
  <si>
    <t xml:space="preserve">
SACRAMENTO RIVER - WILLOWS - WALLACE 
J &amp; J  </t>
  </si>
  <si>
    <t xml:space="preserve">
SACRAMENTO RIVER - WILLOWS - WALLACE, K TRUST  </t>
  </si>
  <si>
    <t xml:space="preserve">
SACRAMENTO RIVER - WILLOWS - WISLER, J
</t>
  </si>
  <si>
    <t xml:space="preserve">
SACRAMENTO RIVER - WILLOWS - YOCKEY, W</t>
  </si>
  <si>
    <t xml:space="preserve">
SACRAMENTO RIVER - WILLOWS - YOUNG, TROY</t>
  </si>
  <si>
    <t xml:space="preserve">
SACRAMENTO RIVER - WILLOWS - TOTAL</t>
  </si>
  <si>
    <t xml:space="preserve">
SAN FELIPE UNIT - SAN BENITO 
COUNTY WD</t>
  </si>
  <si>
    <t xml:space="preserve">
SAN FELIPE UNIT - SANTA CLARA
 VALLEY WD  1/</t>
  </si>
  <si>
    <t xml:space="preserve">
SAN FELIPE UNIT - TOTAL</t>
  </si>
  <si>
    <t xml:space="preserve">
SAN LUIS CANAL-TRACY - PACHECO 
WD</t>
  </si>
  <si>
    <t xml:space="preserve">
SAN LUIS CANAL-TRACY -PANOCHE
 WD</t>
  </si>
  <si>
    <t xml:space="preserve">
SAN LUIS CANAL-TRACY - SAN LUIS
WD</t>
  </si>
  <si>
    <t xml:space="preserve">
SAN LUIS CANAL-TRACY - TOTAL</t>
  </si>
  <si>
    <t xml:space="preserve">
SAN LUIS CANAL -FRESNO - WESTLANDS
 WD-SLC 1</t>
  </si>
  <si>
    <t xml:space="preserve">
SAN LUIS CANAL -FRESNO - WESTLANDS 
WD- DD#2 1/</t>
  </si>
  <si>
    <t xml:space="preserve">
SAN LUIS CANAL -FRESNO - TOTAL</t>
  </si>
  <si>
    <t xml:space="preserve">
TEHAMA-COLUSA CANAL - 4M 
WD</t>
  </si>
  <si>
    <t xml:space="preserve">
TEHAMA-COLUSA CANAL - COLUSA COUNTY WD</t>
  </si>
  <si>
    <t xml:space="preserve">
TEHAMA-COLUSA CANAL - CORTINA 
WD</t>
  </si>
  <si>
    <t xml:space="preserve">
TEHAMA-COLUSA CANAL - DAVIS 
WD</t>
  </si>
  <si>
    <t xml:space="preserve">
TEHAMA-COLUSA CANAL - DUNNIGAN WD</t>
  </si>
  <si>
    <t xml:space="preserve">
TEHAMA-COLUSA CANAL - GLENN VALLEY WD</t>
  </si>
  <si>
    <t xml:space="preserve">
TEHAMA-COLUSA CANAL GLIDE 
WD</t>
  </si>
  <si>
    <t xml:space="preserve">
TEHAMA-COLUSA CANAL - HOLTHOUSE 
WD</t>
  </si>
  <si>
    <t xml:space="preserve">
TEHAMA-COLUSA CANAL - KANAWHA 
WD
</t>
  </si>
  <si>
    <t xml:space="preserve">
TEHAMA-COLUSA CANAL - KIRKWOOD
 WD</t>
  </si>
  <si>
    <t xml:space="preserve">
TEHAMA-COLUSA CANAL - LA GRANDE
 WD
</t>
  </si>
  <si>
    <t xml:space="preserve">
TEHAMA-COLUSA CANAL - MYERS-MARSH 
MWC
</t>
  </si>
  <si>
    <t xml:space="preserve">
TEHAMA-COLUSA CANAL - ORLAND-ARTOIS 
WD
</t>
  </si>
  <si>
    <t xml:space="preserve">
TEHAMA-COLUSA CANAL - WESTSIDE
WD
</t>
  </si>
  <si>
    <t xml:space="preserve">
TEHAMA-COLUSA CANAL - TOTAL</t>
  </si>
  <si>
    <t xml:space="preserve"> H&amp;P/T</t>
  </si>
  <si>
    <t>YEAR</t>
  </si>
  <si>
    <t>DELTA-MENDOTA EXCHANGE WATER - CONTRACTORS</t>
  </si>
  <si>
    <t>DELTA-MENDOTA EXCHANGE WATER - ALL OTHERS</t>
  </si>
  <si>
    <t>DELTA-MENDOTA EXCHANGE WATER - TOTAL</t>
  </si>
  <si>
    <t>DELTA-MENDOTA EXCHANGE WATER - IRRIGATION</t>
  </si>
  <si>
    <t xml:space="preserve">
BLACK BUTTE
 D&amp;R</t>
  </si>
  <si>
    <t xml:space="preserve">
BUCHANAN 
UNIT</t>
  </si>
  <si>
    <t xml:space="preserve">
CLEAR CREEK 
UNIT</t>
  </si>
  <si>
    <t xml:space="preserve">
COLUSA BASIN DRAIN
 DRAIN</t>
  </si>
  <si>
    <t xml:space="preserve">
CORNING CANAL
 CANAL</t>
  </si>
  <si>
    <t xml:space="preserve">
COW CREEK UNIT</t>
  </si>
  <si>
    <t xml:space="preserve">
CROSS VALLEY CANAL</t>
  </si>
  <si>
    <t xml:space="preserve">
DELTA-MENDOTA 
CANAL</t>
  </si>
  <si>
    <t xml:space="preserve">
DELTA-MENDOTA 
POOL</t>
  </si>
  <si>
    <t xml:space="preserve">
FRIANT
 DAM</t>
  </si>
  <si>
    <t xml:space="preserve">
FRIANT-KERN CANAL 
CLASS 1</t>
  </si>
  <si>
    <t xml:space="preserve">
FRIANT-KERN CANAL
CLASS 2</t>
  </si>
  <si>
    <t xml:space="preserve">
FRIANT-KERN CANAL 
TOTAL</t>
  </si>
  <si>
    <t xml:space="preserve">
HIDDEN UNIT</t>
  </si>
  <si>
    <t xml:space="preserve">
MADERA CANAL
CLASS 1</t>
  </si>
  <si>
    <t xml:space="preserve">
MADERA
CANAL 
CLASS 2</t>
  </si>
  <si>
    <t xml:space="preserve">
MADERA CANAL
 TOTAL</t>
  </si>
  <si>
    <t xml:space="preserve">
NEW MELONES
D&amp;R</t>
  </si>
  <si>
    <t xml:space="preserve">
SACRAMENTO RIVER 
SHASTA
</t>
  </si>
  <si>
    <t xml:space="preserve">
SACRAMENTO RIVER
WILLOWS
</t>
  </si>
  <si>
    <t xml:space="preserve">
SACRAMENTO RIVER
TOTAL
</t>
  </si>
  <si>
    <t xml:space="preserve">
SAN FELIPE UNIT</t>
  </si>
  <si>
    <t xml:space="preserve">
SAN LUIS CANAL
 TRACY</t>
  </si>
  <si>
    <t xml:space="preserve">
SAN LUIS CANAL
FRESNO</t>
  </si>
  <si>
    <t xml:space="preserve">
SAN LUIS CANAL
TOTAL</t>
  </si>
  <si>
    <t xml:space="preserve">
TEHAMA-COLUSA 
CANAL</t>
  </si>
  <si>
    <t xml:space="preserve">
ASSIGNED WATER
 (Pg 33-35)</t>
  </si>
  <si>
    <t xml:space="preserve">
TOTAL W/O 
EXCHANGE</t>
  </si>
  <si>
    <t xml:space="preserve">
DELTA-MENDOTA 
EXCHANGE WATER</t>
  </si>
  <si>
    <t>Ivanhoe WD (I) to Kaweah Delta WCD (I)</t>
  </si>
  <si>
    <t>Lewis Creek WD (I) to Hills Valley ID (I)</t>
  </si>
  <si>
    <t>Do not touch - historical data</t>
  </si>
  <si>
    <t>Prior to assignment assignor had the following historical water for allocation purposes:</t>
  </si>
  <si>
    <t xml:space="preserve">ASSIGNMENTS OF HISTORICAL WATER WHEN THERE ARE FEWER OR MORE SERVICES (I=IRRIGATION; M=M&amp;I) </t>
  </si>
  <si>
    <t>2010 Ratebook</t>
  </si>
  <si>
    <t xml:space="preserve">
BANTA-CARBONA ID (I)
 TO 
CITY OF TRACY (M)
</t>
  </si>
  <si>
    <t xml:space="preserve">
BROADVIEW WD (I)
TO 
WESTLANDS 
WD-SLC (I)
</t>
  </si>
  <si>
    <t xml:space="preserve">
CENTINELLA WD (I)
TO 
WESTLANDS 
WD-SLC (I)
</t>
  </si>
  <si>
    <t xml:space="preserve">
EXETER ID (I)
TO 
TRI-VALLEY ID (I) 
C1
</t>
  </si>
  <si>
    <t xml:space="preserve">
IVANHOE WD (I) 
TO KAWEAH DELTA WCD (I) 
CLASS 1
</t>
  </si>
  <si>
    <t xml:space="preserve">
IVANHOE WD (I) TO KAWEAH DELTA WCD (I) 
CLASS 2
</t>
  </si>
  <si>
    <t xml:space="preserve">
LEWIS CREEK WD (I) 
TO 
HILLS VALLEY ID (I) 
C1
</t>
  </si>
  <si>
    <t xml:space="preserve">Total </t>
  </si>
  <si>
    <t>Banta-Carbona</t>
  </si>
  <si>
    <t>Broadview</t>
  </si>
  <si>
    <t>Centinella</t>
  </si>
  <si>
    <t>Exeter ID Class 1</t>
  </si>
  <si>
    <t>Ivanhoe ID</t>
  </si>
  <si>
    <t>Lewis Creek WD
 Class 1</t>
  </si>
  <si>
    <t>Page 25</t>
  </si>
  <si>
    <t>ID</t>
  </si>
  <si>
    <t>Class 1</t>
  </si>
  <si>
    <t>Class 2</t>
  </si>
  <si>
    <t>2990-2990</t>
  </si>
  <si>
    <t xml:space="preserve">     </t>
  </si>
  <si>
    <t>Historical Total:</t>
  </si>
  <si>
    <t xml:space="preserve">
PORTERVILLE ID (I) 
TO
 HILLS VALLEY ID (I) C1
</t>
  </si>
  <si>
    <t xml:space="preserve">
SO SAN JOAQUIN MUD (I)
 TO 
KERN TULARE WD (I) C2
</t>
  </si>
  <si>
    <t xml:space="preserve">
TEA POT DOME WD (I)
 TO 
SAUCELITO ID (I) C1</t>
  </si>
  <si>
    <t xml:space="preserve">
MERCY SPRINGS WD (I) TO 
WESTLANDS WD-SLC (I)</t>
  </si>
  <si>
    <t xml:space="preserve">
MERCY SPRINGS WD (I) 
TO 
WESTLANDS WD-SLC (I)</t>
  </si>
  <si>
    <t xml:space="preserve">
ORO LOMA WD (I) 
TO
 WESTLANDS WD (I)</t>
  </si>
  <si>
    <t xml:space="preserve">
MERCY SPRINGS WD (I) 
TO 
SANTA CLARA VALLEY WD (I)</t>
  </si>
  <si>
    <t>Porterville ID Class 1</t>
  </si>
  <si>
    <t xml:space="preserve">
WEST SIDE ID (I)
 TO CITY OF TRACY (M)
</t>
  </si>
  <si>
    <t xml:space="preserve">
WIDREN WD (I) 
TO WESTLANDS WD - SLC (I)
</t>
  </si>
  <si>
    <t xml:space="preserve">
TOTAL</t>
  </si>
  <si>
    <t>Footnotes:</t>
  </si>
  <si>
    <t>1/</t>
  </si>
  <si>
    <t>Assignments:</t>
  </si>
  <si>
    <t>Assignor</t>
  </si>
  <si>
    <t>Assignee</t>
  </si>
  <si>
    <t>A/F</t>
  </si>
  <si>
    <t>Effective Date</t>
  </si>
  <si>
    <t>Mercy Springs WD</t>
  </si>
  <si>
    <t>Westlands WD</t>
  </si>
  <si>
    <t>May 14, 1999</t>
  </si>
  <si>
    <t>Santa Clara Valley WD</t>
  </si>
  <si>
    <t>Westlands WD (DD #2)</t>
  </si>
  <si>
    <t>March 1, 2003</t>
  </si>
  <si>
    <t>Oro Loma WD</t>
  </si>
  <si>
    <t>March 1, 2012</t>
  </si>
  <si>
    <t>Ivanhoe ID Class 1</t>
  </si>
  <si>
    <t>Kaweah Delta WCD Class 1</t>
  </si>
  <si>
    <t>March 1, 2010</t>
  </si>
  <si>
    <t>Ivanhoe ID Class 2</t>
  </si>
  <si>
    <t>Kaweah Delta WCD Class 2</t>
  </si>
  <si>
    <t>So. San Joaquin MUD Class 2</t>
  </si>
  <si>
    <t>Kern Tulare WD Class 2</t>
  </si>
  <si>
    <t>West Side ID</t>
  </si>
  <si>
    <t>City of Tracy (M&amp;I)</t>
  </si>
  <si>
    <t>Feb. 27, 2004</t>
  </si>
  <si>
    <t>Dec. 3, 2013</t>
  </si>
  <si>
    <t>Banta-Carbona ID</t>
  </si>
  <si>
    <t>Exeter ID</t>
  </si>
  <si>
    <t>Tri-Valley ID</t>
  </si>
  <si>
    <t>Apr. 5, 2013</t>
  </si>
  <si>
    <t>Lewis Creek WD</t>
  </si>
  <si>
    <t>Hills Valley ID</t>
  </si>
  <si>
    <t>Apr. 12, 2013</t>
  </si>
  <si>
    <t>Apr. 14, 2013</t>
  </si>
  <si>
    <t>Tea Pot Dome WD</t>
  </si>
  <si>
    <t>Saucelito ID</t>
  </si>
  <si>
    <t>* Contractor Name Changes</t>
  </si>
  <si>
    <t>From</t>
  </si>
  <si>
    <t>To</t>
  </si>
  <si>
    <t>Nelson, Thomas</t>
  </si>
  <si>
    <t>Nelson, Henry E.</t>
  </si>
  <si>
    <t>Canal Farms</t>
  </si>
  <si>
    <t>L.C. Dennis Company, Inc.</t>
  </si>
  <si>
    <t>Giovannetti, B.E.</t>
  </si>
  <si>
    <t>Four Corners Farmland Fund Yolo, LLC</t>
  </si>
  <si>
    <t xml:space="preserve"> </t>
  </si>
  <si>
    <t xml:space="preserve">
WEST SIDE ID (I)
 TO CITY OF TRACY (M)
2</t>
  </si>
  <si>
    <t>2-3</t>
  </si>
  <si>
    <t>4-6</t>
  </si>
  <si>
    <t>6-7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</si>
  <si>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</si>
  <si>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</si>
  <si>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</si>
  <si>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</si>
  <si>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</si>
  <si>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</si>
  <si>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</si>
  <si>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</si>
  <si>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</si>
  <si>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 xml:space="preserve">
GRAND 
TOTAL</t>
  </si>
  <si>
    <t>Page</t>
  </si>
  <si>
    <t>Facilities</t>
  </si>
  <si>
    <t xml:space="preserve">
DELTA-MENDOTA POOL - JAMES ID</t>
  </si>
  <si>
    <t xml:space="preserve">
FRIANT DAM - GRAVELLY FORD 
WD                                  CLASS 2</t>
  </si>
  <si>
    <t xml:space="preserve">
FRIANT-KERN CANAL - DELANO-EARLIMART ID
CLASS 1</t>
  </si>
  <si>
    <t xml:space="preserve">
FRIANT-KERN CANAL - DELANO-EARLIMART ID
CLASS 2</t>
  </si>
  <si>
    <t xml:space="preserve">
FRIANT-KERN CANAL - DELANO-EARLIMART ID
TOTAL</t>
  </si>
  <si>
    <t xml:space="preserve">
FRIANT-KERN CANAL - GARFIELD
WD
CLASS 1</t>
  </si>
  <si>
    <t xml:space="preserve">
FRIANT-KERN CANAL -HILLS VALLEY
 ID
CLASS 1</t>
  </si>
  <si>
    <t xml:space="preserve">
FRIANT-KERN CANAL - INTERNATIONAL  WD 
CLASS 1</t>
  </si>
  <si>
    <t xml:space="preserve">
FRIANT-KERN CANAL -IVANHOE
 ID 1/
CLASS 1</t>
  </si>
  <si>
    <t xml:space="preserve">
FRIANT-KERN CANAL -IVANHOE 
ID 1/
CLASS 2</t>
  </si>
  <si>
    <t xml:space="preserve">
FRIANT-KERN CANAL -IVANHOE
 ID 1/
TOTAL</t>
  </si>
  <si>
    <t xml:space="preserve">
FRIANT-KERN CANAL - SAUCELITO ID
 CLASS 1</t>
  </si>
  <si>
    <t xml:space="preserve">
FRIANT-KERN CANAL - PORTERVILLE ID
 TOTAL</t>
  </si>
  <si>
    <t xml:space="preserve">
FRIANT-KERN CANAL - PORTERVILLE ID
CLASS 2</t>
  </si>
  <si>
    <t xml:space="preserve">
FRIANT-KERN CANAL - PORTERVILLE ID
 CLASS 1</t>
  </si>
  <si>
    <t xml:space="preserve">
FRIANT-KERN CANAL - ORANGE COVE ID 
CLASS 1</t>
  </si>
  <si>
    <t xml:space="preserve">
FRIANT-KERN CANAL - SAUCELITO ID
CLASS 2</t>
  </si>
  <si>
    <t xml:space="preserve">
FRIANT-KERN CANAL - SAUCELITO ID
 TOTAL</t>
  </si>
  <si>
    <t xml:space="preserve">
FRIANT-KERN CANAL - SO SAN JOAQUIN MUD   1/
CLASS 1  </t>
  </si>
  <si>
    <t xml:space="preserve">
FRIANT-KERN CANAL - SO SAN JOAQUIN MUD   1/
CLASS 2</t>
  </si>
  <si>
    <t xml:space="preserve">
FRIANT-KERN CANAL - SO SAN JOAQUIN MUD   1/
TOTAL</t>
  </si>
  <si>
    <t xml:space="preserve">
FRIANT-KERN CANAL FRIANT (FKC) - TRI-VALLEY WD 
CLASS 1</t>
  </si>
  <si>
    <t xml:space="preserve">
FRIANT-KERN CANAL FRIANT (FKC) - TULARE ID
 CLASS 1</t>
  </si>
  <si>
    <t xml:space="preserve">
FRIANT-KERN CANAL FRIANT (FKC) - TULARE ID
CLASS 2</t>
  </si>
  <si>
    <t xml:space="preserve">
FRIANT-KERN CANAL FRIANT (FKC) - TULARE ID
TOTAL</t>
  </si>
  <si>
    <t xml:space="preserve">
FRIANT-KERN CANAL FRIANT (FKC) - FKC 
TOTAL
CLASS 1  </t>
  </si>
  <si>
    <t xml:space="preserve">
FRIANT-KERN CANAL FRIANT (FKC) - FKC 
TOTAL
CLASS 2  </t>
  </si>
  <si>
    <t xml:space="preserve">
FRIANT-KERN CANAL FRIANT (FKC) - FKC 
TOTAL</t>
  </si>
  <si>
    <t xml:space="preserve">
MADERA CANAL (MC) - MC
TOTAL</t>
  </si>
  <si>
    <t>NEW MELONES D&amp;R - CENTRAL 
SAN JOAQUIN WCD</t>
  </si>
  <si>
    <t xml:space="preserve">
NEW MELONES D&amp;R - STOCKTON- EAST
 WD</t>
  </si>
  <si>
    <t xml:space="preserve">
NEW MELONES D&amp;R - TOTAL</t>
  </si>
  <si>
    <t>SACRAMENTO RIVER - SHASTA - ANDERSON- COTTONWOOD ID</t>
  </si>
  <si>
    <t>SACRAMENTO RIVER - SHASTA - DANIELL, 
H &amp; B</t>
  </si>
  <si>
    <t>SACRAMENTO RIVER - SHASTA - DRISCOLL STRAWBERRY</t>
  </si>
  <si>
    <t>SACRAMENTO RIVER - SHASTA - GJERMANN, H</t>
  </si>
  <si>
    <t>SACRAMENTO RIVER - SHASTA - LEVIATHAN INC</t>
  </si>
  <si>
    <t>SACRAMENTO RIVER - SHASTA - REDDING RANCHERIA</t>
  </si>
  <si>
    <t>SACRAMENTO RIVER - SHASTA - TOTAL</t>
  </si>
  <si>
    <t xml:space="preserve">
FRIANT-KERN CANAL -KAWEAH DELTA WCD   1/
TOTAL</t>
  </si>
  <si>
    <t xml:space="preserve">
Year</t>
  </si>
  <si>
    <t>Friant-Kern Canal - Lindsay-Strathmore ID Class 1</t>
  </si>
  <si>
    <t>Friant-Kern Canal - Lower Tule River ID - FKC Class 1</t>
  </si>
  <si>
    <t>Friant-Kern Canal - Lower Tule River ID - FKC Total</t>
  </si>
  <si>
    <t>Friant-Kern Canal - Lindmore ID Class 1</t>
  </si>
  <si>
    <t>Friant-Kern Canal - Lewis Creek WD 1/ Class 1</t>
  </si>
  <si>
    <t>Friant-Kern Canal - Kern Tulare WD 1/ Class 2</t>
  </si>
  <si>
    <t>Friant-Kern Canal - Lindmore ID Class 2</t>
  </si>
  <si>
    <t>Friant-Kern Canal - Lindmore ID Total</t>
  </si>
  <si>
    <t>Friant-Kern Canal - Lower Tule River ID - FKC Class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</si>
</sst>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3" formatCode="_(* #,##0.00_);_(* \(#,##0.00\);_(* &quot;-&quot;??_);_(@_)"/>
    <numFmt numFmtId="164" formatCode="m/d/yyyy;@"/>
    <numFmt numFmtId="165" formatCode="0_);\(0\)"/>
    <numFmt numFmtId="166" formatCode="_(* #,##0_);_(* \(#,##0\);_(* &quot;-&quot;??_);_(@_)"/>
    <numFmt numFmtId="167" formatCode=";;;"/>
    <numFmt numFmtId="168" formatCode="#,##0.000000"/>
  </numFmts>
  <fonts count="46" x14ac:knownFonts="1">
    <font>
      <sz val="12"/>
      <name val="Times New Roman"/>
      <family val="1"/>
    </font>
    <font>
      <sz val="12"/>
      <name val="Times New Roman"/>
      <family val="1"/>
    </font>
    <font>
      <sz val="14"/>
      <color indexed="8"/>
      <name val="Arial"/>
      <family val="2"/>
    </font>
    <font>
      <sz val="14"/>
      <color indexed="8"/>
      <name val="Times New Roman"/>
      <family val="1"/>
    </font>
    <font>
      <sz val="14"/>
      <name val="Times New Roman"/>
      <family val="1"/>
    </font>
    <font>
      <sz val="12"/>
      <name val="Arial"/>
      <family val="2"/>
    </font>
    <font>
      <sz val="12"/>
      <color indexed="8"/>
      <name val="Arial"/>
      <family val="2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4"/>
      <color indexed="8"/>
      <name val="Calibri Light"/>
      <family val="2"/>
      <scheme val="major"/>
    </font>
    <font>
      <sz val="14"/>
      <name val="Calibri Light"/>
      <family val="2"/>
      <scheme val="major"/>
    </font>
    <font>
      <b/>
      <sz val="12"/>
      <color indexed="8"/>
      <name val="Calibri Light"/>
      <family val="2"/>
      <scheme val="major"/>
    </font>
    <font>
      <b/>
      <sz val="12"/>
      <name val="Calibri Light"/>
      <family val="2"/>
      <scheme val="major"/>
    </font>
    <font>
      <sz val="12"/>
      <color indexed="8"/>
      <name val="Calibri Light"/>
      <family val="2"/>
      <scheme val="major"/>
    </font>
    <font>
      <sz val="14"/>
      <name val="Arial"/>
      <family val="2"/>
    </font>
    <font>
      <sz val="12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indexed="81"/>
      <name val="Tahoma"/>
      <family val="2"/>
    </font>
    <font>
      <sz val="14"/>
      <color indexed="12"/>
      <name val="Arial"/>
      <family val="2"/>
    </font>
    <font>
      <sz val="10"/>
      <color indexed="8"/>
      <name val="Times New Roman"/>
      <family val="1"/>
    </font>
    <font>
      <sz val="12"/>
      <color indexed="81"/>
      <name val="Tahoma"/>
      <family val="2"/>
    </font>
    <font>
      <sz val="14"/>
      <color indexed="12"/>
      <name val="Courier"/>
      <family val="3"/>
    </font>
    <font>
      <sz val="12"/>
      <color indexed="12"/>
      <name val="Calibri Light"/>
      <family val="2"/>
      <scheme val="major"/>
    </font>
    <font>
      <sz val="12"/>
      <color indexed="12"/>
      <name val="Arial"/>
      <family val="2"/>
    </font>
    <font>
      <sz val="10"/>
      <color indexed="12"/>
      <name val="Courier"/>
      <family val="3"/>
    </font>
    <font>
      <sz val="10"/>
      <color indexed="8"/>
      <name val="Calibri Light"/>
      <family val="2"/>
      <scheme val="major"/>
    </font>
    <font>
      <sz val="10"/>
      <name val="Arial"/>
      <family val="2"/>
    </font>
    <font>
      <sz val="10"/>
      <name val="Times New Roman"/>
      <family val="1"/>
    </font>
    <font>
      <sz val="10"/>
      <color indexed="12"/>
      <name val="Calibri Light"/>
      <family val="2"/>
      <scheme val="major"/>
    </font>
    <font>
      <sz val="10"/>
      <color indexed="81"/>
      <name val="Tahoma"/>
      <family val="2"/>
    </font>
    <font>
      <sz val="10"/>
      <name val="Calibri Light"/>
      <family val="2"/>
      <scheme val="major"/>
    </font>
    <font>
      <sz val="13"/>
      <color indexed="8"/>
      <name val="Calibri Light"/>
      <family val="2"/>
      <scheme val="major"/>
    </font>
    <font>
      <b/>
      <sz val="12"/>
      <color indexed="81"/>
      <name val="Tahoma"/>
      <family val="2"/>
    </font>
    <font>
      <sz val="14"/>
      <color indexed="8"/>
      <name val="Segoe UI"/>
      <family val="2"/>
    </font>
    <font>
      <sz val="12"/>
      <color indexed="8"/>
      <name val="Segoe UI"/>
      <family val="2"/>
    </font>
    <font>
      <b/>
      <sz val="12"/>
      <color indexed="8"/>
      <name val="Segoe UI"/>
      <family val="2"/>
    </font>
    <font>
      <b/>
      <sz val="12"/>
      <name val="Segoe UI"/>
      <family val="2"/>
    </font>
    <font>
      <sz val="12"/>
      <name val="Segoe UI"/>
      <family val="2"/>
    </font>
    <font>
      <b/>
      <sz val="14"/>
      <color rgb="FF000000"/>
      <name val="Segoe UI"/>
      <family val="2"/>
    </font>
    <font>
      <b/>
      <sz val="14"/>
      <color indexed="8"/>
      <name val="Segoe UI"/>
      <family val="2"/>
    </font>
    <font>
      <sz val="14"/>
      <name val="Segoe UI"/>
      <family val="2"/>
    </font>
    <font>
      <sz val="12"/>
      <color rgb="FF000000"/>
      <name val="Segoe UI"/>
      <family val="2"/>
    </font>
    <font>
      <sz val="10"/>
      <color indexed="8"/>
      <name val="Segoe UI"/>
      <family val="2"/>
    </font>
    <font>
      <sz val="8"/>
      <name val="Times New Roman"/>
      <family val="1"/>
    </font>
    <font>
      <b/>
      <sz val="14"/>
      <name val="Segoe U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0" tint="-0.14999847407452621"/>
        <bgColor theme="0" tint="-0.14999847407452621"/>
      </patternFill>
    </fill>
  </fills>
  <borders count="65">
    <border>
      <left/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 style="thin">
        <color theme="1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indexed="8"/>
      </top>
      <bottom style="thin">
        <color theme="1"/>
      </bottom>
      <diagonal/>
    </border>
    <border>
      <left/>
      <right/>
      <top style="thin">
        <color indexed="8"/>
      </top>
      <bottom style="thin">
        <color theme="1"/>
      </bottom>
      <diagonal/>
    </border>
    <border>
      <left/>
      <right/>
      <top/>
      <bottom style="medium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auto="1"/>
      </top>
      <bottom/>
      <diagonal/>
    </border>
    <border>
      <left style="thin">
        <color theme="1"/>
      </left>
      <right style="thin">
        <color theme="1"/>
      </right>
      <top style="medium">
        <color indexed="8"/>
      </top>
      <bottom style="thin">
        <color theme="1"/>
      </bottom>
      <diagonal/>
    </border>
  </borders>
  <cellStyleXfs count="2">
    <xf numFmtId="7" fontId="0" fillId="0" borderId="0"/>
    <xf numFmtId="43" fontId="1" fillId="0" borderId="0" applyFont="0" applyFill="0" applyBorder="0" applyAlignment="0" applyProtection="0"/>
  </cellStyleXfs>
  <cellXfs count="468">
    <xf numFmtId="7" fontId="0" fillId="0" borderId="0" xfId="0"/>
    <xf numFmtId="7" fontId="3" fillId="0" borderId="0" xfId="0" applyFont="1"/>
    <xf numFmtId="7" fontId="4" fillId="0" borderId="0" xfId="0" applyFont="1"/>
    <xf numFmtId="7" fontId="3" fillId="0" borderId="0" xfId="0" applyFont="1" applyAlignment="1">
      <alignment horizontal="left"/>
    </xf>
    <xf numFmtId="7" fontId="4" fillId="0" borderId="0" xfId="0" applyFont="1" applyAlignment="1">
      <alignment horizontal="left"/>
    </xf>
    <xf numFmtId="7" fontId="7" fillId="0" borderId="0" xfId="0" applyFont="1"/>
    <xf numFmtId="7" fontId="6" fillId="0" borderId="0" xfId="0" applyFont="1"/>
    <xf numFmtId="7" fontId="2" fillId="0" borderId="0" xfId="0" applyFont="1" applyAlignment="1">
      <alignment wrapText="1"/>
    </xf>
    <xf numFmtId="7" fontId="7" fillId="0" borderId="0" xfId="0" applyFont="1" applyAlignment="1">
      <alignment wrapText="1"/>
    </xf>
    <xf numFmtId="7" fontId="0" fillId="0" borderId="0" xfId="0" applyAlignment="1">
      <alignment wrapText="1"/>
    </xf>
    <xf numFmtId="7" fontId="9" fillId="0" borderId="0" xfId="0" applyFont="1" applyAlignment="1" applyProtection="1">
      <alignment wrapText="1"/>
      <protection locked="0"/>
    </xf>
    <xf numFmtId="14" fontId="9" fillId="0" borderId="0" xfId="0" applyNumberFormat="1" applyFont="1" applyAlignment="1" applyProtection="1">
      <alignment horizontal="left" wrapText="1"/>
      <protection locked="0"/>
    </xf>
    <xf numFmtId="7" fontId="9" fillId="0" borderId="0" xfId="0" applyFont="1" applyAlignment="1" applyProtection="1">
      <alignment horizontal="left" vertical="center" wrapText="1"/>
      <protection locked="0"/>
    </xf>
    <xf numFmtId="7" fontId="9" fillId="0" borderId="0" xfId="0" applyFont="1" applyAlignment="1" applyProtection="1">
      <alignment horizontal="left" vertical="center"/>
      <protection locked="0"/>
    </xf>
    <xf numFmtId="7" fontId="10" fillId="0" borderId="0" xfId="0" applyFont="1" applyAlignment="1">
      <alignment horizontal="left"/>
    </xf>
    <xf numFmtId="7" fontId="11" fillId="0" borderId="2" xfId="0" applyFont="1" applyBorder="1" applyAlignment="1" applyProtection="1">
      <alignment horizontal="center" vertical="center" wrapText="1"/>
      <protection locked="0"/>
    </xf>
    <xf numFmtId="7" fontId="12" fillId="0" borderId="0" xfId="0" applyFont="1" applyAlignment="1">
      <alignment horizontal="center" vertical="center" wrapText="1"/>
    </xf>
    <xf numFmtId="7" fontId="12" fillId="0" borderId="1" xfId="0" applyFont="1" applyBorder="1" applyAlignment="1">
      <alignment horizontal="center" vertical="center" wrapText="1"/>
    </xf>
    <xf numFmtId="7" fontId="13" fillId="0" borderId="0" xfId="0" applyFont="1" applyAlignment="1" applyProtection="1">
      <alignment horizontal="center" wrapText="1"/>
      <protection locked="0"/>
    </xf>
    <xf numFmtId="3" fontId="13" fillId="0" borderId="0" xfId="0" applyNumberFormat="1" applyFont="1" applyProtection="1">
      <protection locked="0"/>
    </xf>
    <xf numFmtId="3" fontId="14" fillId="0" borderId="0" xfId="0" applyNumberFormat="1" applyFont="1"/>
    <xf numFmtId="7" fontId="14" fillId="0" borderId="0" xfId="0" applyFont="1"/>
    <xf numFmtId="37" fontId="14" fillId="0" borderId="0" xfId="0" applyNumberFormat="1" applyFont="1"/>
    <xf numFmtId="43" fontId="13" fillId="0" borderId="0" xfId="1" applyFont="1" applyFill="1" applyProtection="1">
      <protection locked="0"/>
    </xf>
    <xf numFmtId="165" fontId="13" fillId="0" borderId="0" xfId="0" applyNumberFormat="1" applyFont="1" applyAlignment="1" applyProtection="1">
      <alignment horizontal="center" wrapText="1"/>
      <protection locked="0"/>
    </xf>
    <xf numFmtId="7" fontId="13" fillId="0" borderId="0" xfId="0" quotePrefix="1" applyFont="1" applyAlignment="1" applyProtection="1">
      <alignment horizontal="center" wrapText="1"/>
      <protection locked="0"/>
    </xf>
    <xf numFmtId="166" fontId="13" fillId="0" borderId="0" xfId="1" applyNumberFormat="1" applyFont="1" applyFill="1" applyProtection="1">
      <protection locked="0"/>
    </xf>
    <xf numFmtId="3" fontId="13" fillId="0" borderId="7" xfId="0" applyNumberFormat="1" applyFont="1" applyBorder="1" applyProtection="1">
      <protection locked="0"/>
    </xf>
    <xf numFmtId="7" fontId="15" fillId="0" borderId="0" xfId="0" applyFont="1" applyAlignment="1">
      <alignment horizontal="center" wrapText="1"/>
    </xf>
    <xf numFmtId="3" fontId="15" fillId="0" borderId="0" xfId="0" applyNumberFormat="1" applyFont="1"/>
    <xf numFmtId="3" fontId="0" fillId="0" borderId="0" xfId="0" applyNumberFormat="1"/>
    <xf numFmtId="7" fontId="9" fillId="0" borderId="0" xfId="0" applyFont="1" applyAlignment="1">
      <alignment horizontal="left" wrapText="1"/>
    </xf>
    <xf numFmtId="7" fontId="9" fillId="0" borderId="0" xfId="0" applyFont="1"/>
    <xf numFmtId="7" fontId="9" fillId="0" borderId="0" xfId="0" applyFont="1" applyAlignment="1">
      <alignment horizontal="centerContinuous"/>
    </xf>
    <xf numFmtId="7" fontId="9" fillId="0" borderId="0" xfId="0" applyFont="1" applyAlignment="1">
      <alignment horizontal="right"/>
    </xf>
    <xf numFmtId="7" fontId="9" fillId="0" borderId="0" xfId="0" applyFont="1" applyAlignment="1" applyProtection="1">
      <alignment horizontal="centerContinuous" vertical="center"/>
      <protection locked="0"/>
    </xf>
    <xf numFmtId="7" fontId="9" fillId="0" borderId="0" xfId="0" applyFont="1" applyAlignment="1" applyProtection="1">
      <alignment horizontal="right" vertical="center"/>
      <protection locked="0"/>
    </xf>
    <xf numFmtId="7" fontId="9" fillId="0" borderId="0" xfId="0" applyFont="1" applyAlignment="1" applyProtection="1">
      <alignment vertical="center"/>
      <protection locked="0"/>
    </xf>
    <xf numFmtId="37" fontId="9" fillId="0" borderId="0" xfId="0" applyNumberFormat="1" applyFont="1" applyAlignment="1" applyProtection="1">
      <alignment horizontal="centerContinuous"/>
      <protection locked="0"/>
    </xf>
    <xf numFmtId="37" fontId="9" fillId="0" borderId="0" xfId="0" applyNumberFormat="1" applyFont="1" applyProtection="1">
      <protection locked="0"/>
    </xf>
    <xf numFmtId="37" fontId="9" fillId="0" borderId="0" xfId="0" applyNumberFormat="1" applyFont="1" applyAlignment="1" applyProtection="1">
      <alignment horizontal="right"/>
      <protection locked="0"/>
    </xf>
    <xf numFmtId="7" fontId="9" fillId="0" borderId="0" xfId="0" applyFont="1" applyAlignment="1" applyProtection="1">
      <alignment horizontal="center"/>
      <protection locked="0"/>
    </xf>
    <xf numFmtId="7" fontId="9" fillId="0" borderId="0" xfId="0" applyFont="1" applyProtection="1">
      <protection locked="0"/>
    </xf>
    <xf numFmtId="7" fontId="11" fillId="0" borderId="8" xfId="0" applyFont="1" applyBorder="1" applyAlignment="1" applyProtection="1">
      <alignment horizontal="center" vertical="top" wrapText="1"/>
      <protection locked="0"/>
    </xf>
    <xf numFmtId="7" fontId="11" fillId="0" borderId="9" xfId="0" applyFont="1" applyBorder="1" applyAlignment="1" applyProtection="1">
      <alignment horizontal="center" vertical="top" wrapText="1"/>
      <protection locked="0"/>
    </xf>
    <xf numFmtId="7" fontId="11" fillId="0" borderId="11" xfId="0" applyFont="1" applyBorder="1" applyAlignment="1" applyProtection="1">
      <alignment horizontal="center" vertical="top" wrapText="1"/>
      <protection locked="0"/>
    </xf>
    <xf numFmtId="7" fontId="12" fillId="0" borderId="0" xfId="0" applyFont="1" applyAlignment="1">
      <alignment horizontal="center" vertical="top" wrapText="1"/>
    </xf>
    <xf numFmtId="7" fontId="13" fillId="0" borderId="0" xfId="0" applyFont="1" applyAlignment="1" applyProtection="1">
      <alignment horizontal="left" wrapText="1"/>
      <protection locked="0"/>
    </xf>
    <xf numFmtId="3" fontId="5" fillId="0" borderId="0" xfId="0" applyNumberFormat="1" applyFont="1"/>
    <xf numFmtId="7" fontId="5" fillId="0" borderId="0" xfId="0" applyFont="1"/>
    <xf numFmtId="7" fontId="13" fillId="0" borderId="0" xfId="0" applyFont="1" applyAlignment="1">
      <alignment horizontal="left" wrapText="1"/>
    </xf>
    <xf numFmtId="3" fontId="13" fillId="0" borderId="0" xfId="0" applyNumberFormat="1" applyFont="1"/>
    <xf numFmtId="43" fontId="13" fillId="0" borderId="0" xfId="1" applyFont="1" applyFill="1" applyProtection="1"/>
    <xf numFmtId="7" fontId="15" fillId="0" borderId="0" xfId="0" applyFont="1" applyAlignment="1">
      <alignment horizontal="left" wrapText="1"/>
    </xf>
    <xf numFmtId="7" fontId="15" fillId="0" borderId="0" xfId="0" applyFont="1"/>
    <xf numFmtId="7" fontId="7" fillId="0" borderId="0" xfId="0" applyFont="1" applyAlignment="1">
      <alignment horizontal="left" wrapText="1"/>
    </xf>
    <xf numFmtId="3" fontId="20" fillId="0" borderId="0" xfId="0" applyNumberFormat="1" applyFont="1" applyProtection="1">
      <protection locked="0"/>
    </xf>
    <xf numFmtId="3" fontId="7" fillId="0" borderId="0" xfId="0" applyNumberFormat="1" applyFont="1"/>
    <xf numFmtId="7" fontId="0" fillId="0" borderId="0" xfId="0" applyAlignment="1">
      <alignment horizontal="left" wrapText="1"/>
    </xf>
    <xf numFmtId="7" fontId="10" fillId="0" borderId="0" xfId="0" applyFont="1"/>
    <xf numFmtId="7" fontId="9" fillId="0" borderId="0" xfId="0" applyFont="1" applyAlignment="1" applyProtection="1">
      <alignment horizontal="centerContinuous"/>
      <protection locked="0"/>
    </xf>
    <xf numFmtId="7" fontId="11" fillId="0" borderId="10" xfId="0" applyFont="1" applyBorder="1" applyAlignment="1" applyProtection="1">
      <alignment horizontal="center" vertical="top" wrapText="1"/>
      <protection locked="0"/>
    </xf>
    <xf numFmtId="7" fontId="12" fillId="0" borderId="0" xfId="0" applyFont="1"/>
    <xf numFmtId="3" fontId="7" fillId="0" borderId="0" xfId="0" applyNumberFormat="1" applyFont="1" applyProtection="1">
      <protection locked="0"/>
    </xf>
    <xf numFmtId="3" fontId="13" fillId="0" borderId="0" xfId="0" quotePrefix="1" applyNumberFormat="1" applyFont="1" applyAlignment="1" applyProtection="1">
      <alignment horizontal="center" wrapText="1"/>
      <protection locked="0"/>
    </xf>
    <xf numFmtId="7" fontId="13" fillId="0" borderId="0" xfId="0" applyFont="1" applyAlignment="1">
      <alignment horizontal="center" wrapText="1"/>
    </xf>
    <xf numFmtId="43" fontId="7" fillId="0" borderId="0" xfId="1" applyFont="1"/>
    <xf numFmtId="7" fontId="9" fillId="0" borderId="0" xfId="0" applyFont="1" applyAlignment="1" applyProtection="1">
      <alignment horizontal="left" wrapText="1"/>
      <protection locked="0"/>
    </xf>
    <xf numFmtId="7" fontId="13" fillId="0" borderId="0" xfId="0" applyFont="1" applyAlignment="1">
      <alignment horizontal="center" vertical="top" wrapText="1"/>
    </xf>
    <xf numFmtId="7" fontId="15" fillId="0" borderId="0" xfId="0" applyFont="1" applyAlignment="1">
      <alignment horizontal="center" vertical="top" wrapText="1"/>
    </xf>
    <xf numFmtId="3" fontId="3" fillId="0" borderId="0" xfId="0" applyNumberFormat="1" applyFont="1" applyProtection="1">
      <protection locked="0"/>
    </xf>
    <xf numFmtId="3" fontId="13" fillId="0" borderId="0" xfId="0" applyNumberFormat="1" applyFont="1" applyAlignment="1" applyProtection="1">
      <alignment wrapText="1"/>
      <protection locked="0"/>
    </xf>
    <xf numFmtId="3" fontId="3" fillId="0" borderId="0" xfId="0" applyNumberFormat="1" applyFont="1" applyAlignment="1" applyProtection="1">
      <alignment wrapText="1"/>
      <protection locked="0"/>
    </xf>
    <xf numFmtId="3" fontId="14" fillId="0" borderId="0" xfId="0" applyNumberFormat="1" applyFont="1" applyAlignment="1">
      <alignment wrapText="1"/>
    </xf>
    <xf numFmtId="7" fontId="14" fillId="0" borderId="0" xfId="0" applyFont="1" applyAlignment="1">
      <alignment wrapText="1"/>
    </xf>
    <xf numFmtId="43" fontId="7" fillId="0" borderId="0" xfId="1" applyFont="1" applyProtection="1"/>
    <xf numFmtId="7" fontId="9" fillId="0" borderId="0" xfId="0" applyFont="1" applyAlignment="1" applyProtection="1">
      <alignment horizontal="centerContinuous" vertical="center" wrapText="1"/>
      <protection locked="0"/>
    </xf>
    <xf numFmtId="7" fontId="22" fillId="0" borderId="0" xfId="0" applyFont="1" applyProtection="1">
      <protection locked="0"/>
    </xf>
    <xf numFmtId="7" fontId="23" fillId="0" borderId="0" xfId="0" applyFont="1" applyAlignment="1" applyProtection="1">
      <alignment horizontal="center" vertical="top" wrapText="1"/>
      <protection locked="0"/>
    </xf>
    <xf numFmtId="3" fontId="24" fillId="0" borderId="0" xfId="0" applyNumberFormat="1" applyFont="1" applyProtection="1">
      <protection locked="0"/>
    </xf>
    <xf numFmtId="3" fontId="25" fillId="0" borderId="0" xfId="0" applyNumberFormat="1" applyFont="1" applyProtection="1">
      <protection locked="0"/>
    </xf>
    <xf numFmtId="7" fontId="9" fillId="0" borderId="0" xfId="0" applyFont="1" applyAlignment="1" applyProtection="1">
      <alignment horizontal="left"/>
      <protection locked="0"/>
    </xf>
    <xf numFmtId="7" fontId="9" fillId="0" borderId="0" xfId="0" applyFont="1" applyAlignment="1">
      <alignment horizontal="left"/>
    </xf>
    <xf numFmtId="7" fontId="0" fillId="0" borderId="0" xfId="0" applyAlignment="1">
      <alignment horizontal="center" wrapText="1"/>
    </xf>
    <xf numFmtId="7" fontId="9" fillId="0" borderId="0" xfId="0" applyFont="1" applyAlignment="1" applyProtection="1">
      <alignment horizontal="right"/>
      <protection locked="0"/>
    </xf>
    <xf numFmtId="7" fontId="7" fillId="0" borderId="0" xfId="0" applyFont="1" applyAlignment="1">
      <alignment horizontal="center"/>
    </xf>
    <xf numFmtId="7" fontId="0" fillId="0" borderId="0" xfId="0" applyAlignment="1">
      <alignment horizontal="center"/>
    </xf>
    <xf numFmtId="3" fontId="3" fillId="0" borderId="0" xfId="0" applyNumberFormat="1" applyFont="1"/>
    <xf numFmtId="7" fontId="13" fillId="0" borderId="0" xfId="0" applyFont="1" applyAlignment="1" applyProtection="1">
      <alignment horizontal="center" vertical="top" wrapText="1"/>
      <protection locked="0"/>
    </xf>
    <xf numFmtId="7" fontId="13" fillId="0" borderId="0" xfId="0" applyFont="1" applyAlignment="1" applyProtection="1">
      <alignment horizontal="center"/>
      <protection locked="0"/>
    </xf>
    <xf numFmtId="7" fontId="13" fillId="0" borderId="0" xfId="0" applyFont="1"/>
    <xf numFmtId="37" fontId="24" fillId="0" borderId="0" xfId="0" applyNumberFormat="1" applyFont="1" applyProtection="1">
      <protection locked="0"/>
    </xf>
    <xf numFmtId="7" fontId="13" fillId="0" borderId="0" xfId="0" applyFont="1" applyProtection="1">
      <protection locked="0"/>
    </xf>
    <xf numFmtId="7" fontId="9" fillId="0" borderId="0" xfId="0" applyFont="1" applyAlignment="1" applyProtection="1">
      <alignment horizontal="centerContinuous" wrapText="1"/>
      <protection locked="0"/>
    </xf>
    <xf numFmtId="7" fontId="11" fillId="0" borderId="0" xfId="0" applyFont="1" applyAlignment="1">
      <alignment horizontal="center" vertical="top" wrapText="1"/>
    </xf>
    <xf numFmtId="3" fontId="19" fillId="0" borderId="0" xfId="0" applyNumberFormat="1" applyFont="1" applyProtection="1">
      <protection locked="0"/>
    </xf>
    <xf numFmtId="37" fontId="19" fillId="0" borderId="0" xfId="0" applyNumberFormat="1" applyFont="1" applyProtection="1">
      <protection locked="0"/>
    </xf>
    <xf numFmtId="3" fontId="23" fillId="0" borderId="0" xfId="0" applyNumberFormat="1" applyFont="1" applyProtection="1">
      <protection locked="0"/>
    </xf>
    <xf numFmtId="7" fontId="11" fillId="0" borderId="6" xfId="0" applyFont="1" applyBorder="1" applyAlignment="1" applyProtection="1">
      <alignment horizontal="center" vertical="top" wrapText="1"/>
      <protection locked="0"/>
    </xf>
    <xf numFmtId="7" fontId="26" fillId="0" borderId="0" xfId="0" applyFont="1" applyAlignment="1" applyProtection="1">
      <alignment horizontal="center" vertical="top" wrapText="1"/>
      <protection locked="0"/>
    </xf>
    <xf numFmtId="7" fontId="26" fillId="0" borderId="33" xfId="0" applyFont="1" applyBorder="1" applyAlignment="1" applyProtection="1">
      <alignment horizontal="center" vertical="top" wrapText="1"/>
      <protection locked="0"/>
    </xf>
    <xf numFmtId="7" fontId="26" fillId="0" borderId="32" xfId="0" applyFont="1" applyBorder="1" applyAlignment="1">
      <alignment horizontal="center" vertical="top" wrapText="1"/>
    </xf>
    <xf numFmtId="7" fontId="26" fillId="0" borderId="32" xfId="0" applyFont="1" applyBorder="1" applyAlignment="1" applyProtection="1">
      <alignment horizontal="center" vertical="top" wrapText="1"/>
      <protection locked="0"/>
    </xf>
    <xf numFmtId="7" fontId="26" fillId="0" borderId="34" xfId="0" applyFont="1" applyBorder="1" applyAlignment="1" applyProtection="1">
      <alignment horizontal="center" vertical="top" wrapText="1"/>
      <protection locked="0"/>
    </xf>
    <xf numFmtId="7" fontId="26" fillId="0" borderId="0" xfId="0" applyFont="1" applyAlignment="1">
      <alignment horizontal="center" vertical="top" wrapText="1"/>
    </xf>
    <xf numFmtId="7" fontId="26" fillId="0" borderId="22" xfId="0" applyFont="1" applyBorder="1" applyAlignment="1" applyProtection="1">
      <alignment horizontal="center" vertical="top" wrapText="1"/>
      <protection locked="0"/>
    </xf>
    <xf numFmtId="7" fontId="26" fillId="0" borderId="36" xfId="0" applyFont="1" applyBorder="1" applyAlignment="1" applyProtection="1">
      <alignment horizontal="center" vertical="top" wrapText="1"/>
      <protection locked="0"/>
    </xf>
    <xf numFmtId="7" fontId="26" fillId="0" borderId="38" xfId="0" applyFont="1" applyBorder="1" applyAlignment="1" applyProtection="1">
      <alignment horizontal="center" vertical="top" wrapText="1"/>
      <protection locked="0"/>
    </xf>
    <xf numFmtId="7" fontId="20" fillId="0" borderId="0" xfId="0" applyFont="1" applyAlignment="1">
      <alignment horizontal="center" vertical="top" wrapText="1"/>
    </xf>
    <xf numFmtId="7" fontId="27" fillId="0" borderId="0" xfId="0" applyFont="1" applyAlignment="1">
      <alignment horizontal="center" vertical="top" wrapText="1"/>
    </xf>
    <xf numFmtId="7" fontId="28" fillId="0" borderId="0" xfId="0" applyFont="1" applyAlignment="1">
      <alignment horizontal="center" vertical="top" wrapText="1"/>
    </xf>
    <xf numFmtId="167" fontId="13" fillId="0" borderId="0" xfId="0" applyNumberFormat="1" applyFont="1" applyProtection="1">
      <protection locked="0"/>
    </xf>
    <xf numFmtId="3" fontId="3" fillId="0" borderId="0" xfId="0" quotePrefix="1" applyNumberFormat="1" applyFont="1" applyAlignment="1" applyProtection="1">
      <alignment horizontal="left"/>
      <protection locked="0"/>
    </xf>
    <xf numFmtId="3" fontId="26" fillId="0" borderId="0" xfId="0" applyNumberFormat="1" applyFont="1" applyProtection="1">
      <protection locked="0"/>
    </xf>
    <xf numFmtId="3" fontId="9" fillId="0" borderId="0" xfId="0" applyNumberFormat="1" applyFont="1" applyProtection="1">
      <protection locked="0"/>
    </xf>
    <xf numFmtId="1" fontId="13" fillId="0" borderId="0" xfId="0" applyNumberFormat="1" applyFont="1" applyProtection="1">
      <protection locked="0"/>
    </xf>
    <xf numFmtId="3" fontId="13" fillId="0" borderId="7" xfId="0" applyNumberFormat="1" applyFont="1" applyBorder="1" applyAlignment="1" applyProtection="1">
      <alignment wrapText="1"/>
      <protection locked="0"/>
    </xf>
    <xf numFmtId="3" fontId="29" fillId="0" borderId="0" xfId="0" applyNumberFormat="1" applyFont="1" applyProtection="1">
      <protection locked="0"/>
    </xf>
    <xf numFmtId="3" fontId="20" fillId="0" borderId="0" xfId="0" applyNumberFormat="1" applyFont="1" applyAlignment="1" applyProtection="1">
      <alignment wrapText="1"/>
      <protection locked="0"/>
    </xf>
    <xf numFmtId="3" fontId="7" fillId="0" borderId="0" xfId="0" applyNumberFormat="1" applyFont="1" applyAlignment="1">
      <alignment wrapText="1"/>
    </xf>
    <xf numFmtId="3" fontId="0" fillId="0" borderId="0" xfId="0" applyNumberFormat="1" applyAlignment="1">
      <alignment wrapText="1"/>
    </xf>
    <xf numFmtId="7" fontId="3" fillId="0" borderId="0" xfId="0" applyFont="1" applyAlignment="1">
      <alignment horizontal="centerContinuous"/>
    </xf>
    <xf numFmtId="7" fontId="3" fillId="0" borderId="0" xfId="0" applyFont="1" applyAlignment="1" applyProtection="1">
      <alignment vertical="center"/>
      <protection locked="0"/>
    </xf>
    <xf numFmtId="7" fontId="13" fillId="0" borderId="0" xfId="0" applyFont="1" applyAlignment="1">
      <alignment horizontal="center" vertical="top"/>
    </xf>
    <xf numFmtId="7" fontId="9" fillId="0" borderId="0" xfId="0" applyFont="1" applyAlignment="1">
      <alignment horizontal="centerContinuous" vertical="top" wrapText="1"/>
    </xf>
    <xf numFmtId="167" fontId="9" fillId="0" borderId="0" xfId="0" applyNumberFormat="1" applyFont="1" applyProtection="1">
      <protection locked="0"/>
    </xf>
    <xf numFmtId="166" fontId="13" fillId="0" borderId="0" xfId="1" applyNumberFormat="1" applyFont="1" applyProtection="1">
      <protection locked="0"/>
    </xf>
    <xf numFmtId="3" fontId="15" fillId="0" borderId="0" xfId="0" applyNumberFormat="1" applyFont="1" applyAlignment="1">
      <alignment horizontal="right"/>
    </xf>
    <xf numFmtId="7" fontId="13" fillId="0" borderId="0" xfId="0" applyFont="1" applyAlignment="1" applyProtection="1">
      <alignment horizontal="center" vertical="top"/>
      <protection locked="0"/>
    </xf>
    <xf numFmtId="7" fontId="15" fillId="0" borderId="0" xfId="0" applyFont="1" applyAlignment="1">
      <alignment horizontal="center" vertical="top"/>
    </xf>
    <xf numFmtId="7" fontId="26" fillId="0" borderId="37" xfId="0" applyFont="1" applyBorder="1" applyAlignment="1" applyProtection="1">
      <alignment horizontal="left" vertical="top" wrapText="1"/>
      <protection locked="0"/>
    </xf>
    <xf numFmtId="7" fontId="31" fillId="0" borderId="0" xfId="0" applyFont="1" applyAlignment="1">
      <alignment horizontal="center" vertical="top" wrapText="1"/>
    </xf>
    <xf numFmtId="167" fontId="13" fillId="0" borderId="0" xfId="0" applyNumberFormat="1" applyFont="1"/>
    <xf numFmtId="166" fontId="13" fillId="0" borderId="0" xfId="1" applyNumberFormat="1" applyFont="1" applyBorder="1" applyProtection="1">
      <protection locked="0"/>
    </xf>
    <xf numFmtId="49" fontId="32" fillId="0" borderId="0" xfId="0" applyNumberFormat="1" applyFont="1" applyAlignment="1" applyProtection="1">
      <alignment horizontal="center" wrapText="1"/>
      <protection locked="0"/>
    </xf>
    <xf numFmtId="3" fontId="32" fillId="0" borderId="0" xfId="0" applyNumberFormat="1" applyFont="1" applyProtection="1">
      <protection locked="0"/>
    </xf>
    <xf numFmtId="166" fontId="32" fillId="0" borderId="0" xfId="1" applyNumberFormat="1" applyFont="1" applyProtection="1">
      <protection locked="0"/>
    </xf>
    <xf numFmtId="3" fontId="15" fillId="2" borderId="0" xfId="0" applyNumberFormat="1" applyFont="1" applyFill="1"/>
    <xf numFmtId="49" fontId="32" fillId="0" borderId="0" xfId="0" quotePrefix="1" applyNumberFormat="1" applyFont="1" applyAlignment="1" applyProtection="1">
      <alignment horizontal="center" wrapText="1"/>
      <protection locked="0"/>
    </xf>
    <xf numFmtId="3" fontId="32" fillId="0" borderId="7" xfId="0" applyNumberFormat="1" applyFont="1" applyBorder="1" applyProtection="1">
      <protection locked="0"/>
    </xf>
    <xf numFmtId="3" fontId="10" fillId="0" borderId="0" xfId="0" applyNumberFormat="1" applyFont="1"/>
    <xf numFmtId="7" fontId="7" fillId="0" borderId="0" xfId="0" applyFont="1" applyAlignment="1">
      <alignment horizontal="center" wrapText="1"/>
    </xf>
    <xf numFmtId="7" fontId="10" fillId="0" borderId="0" xfId="0" applyFont="1" applyProtection="1">
      <protection locked="0"/>
    </xf>
    <xf numFmtId="7" fontId="10" fillId="0" borderId="0" xfId="0" applyFont="1" applyAlignment="1" applyProtection="1">
      <alignment wrapText="1"/>
      <protection locked="0"/>
    </xf>
    <xf numFmtId="7" fontId="10" fillId="0" borderId="0" xfId="0" applyFont="1" applyAlignment="1" applyProtection="1">
      <alignment horizontal="left"/>
      <protection locked="0"/>
    </xf>
    <xf numFmtId="7" fontId="15" fillId="0" borderId="0" xfId="0" applyFont="1" applyAlignment="1" applyProtection="1">
      <alignment horizontal="center"/>
      <protection locked="0"/>
    </xf>
    <xf numFmtId="3" fontId="15" fillId="0" borderId="0" xfId="0" applyNumberFormat="1" applyFont="1" applyProtection="1">
      <protection locked="0"/>
    </xf>
    <xf numFmtId="7" fontId="15" fillId="0" borderId="0" xfId="0" applyFont="1" applyProtection="1">
      <protection locked="0"/>
    </xf>
    <xf numFmtId="168" fontId="13" fillId="0" borderId="0" xfId="0" applyNumberFormat="1" applyFont="1" applyProtection="1">
      <protection locked="0"/>
    </xf>
    <xf numFmtId="3" fontId="26" fillId="0" borderId="0" xfId="0" applyNumberFormat="1" applyFont="1" applyAlignment="1" applyProtection="1">
      <alignment wrapText="1"/>
      <protection locked="0"/>
    </xf>
    <xf numFmtId="7" fontId="15" fillId="0" borderId="0" xfId="0" applyFont="1" applyAlignment="1" applyProtection="1">
      <alignment horizontal="center" wrapText="1"/>
      <protection locked="0"/>
    </xf>
    <xf numFmtId="3" fontId="15" fillId="0" borderId="0" xfId="0" applyNumberFormat="1" applyFont="1" applyAlignment="1" applyProtection="1">
      <alignment wrapText="1"/>
      <protection locked="0"/>
    </xf>
    <xf numFmtId="7" fontId="15" fillId="0" borderId="0" xfId="0" applyFont="1" applyAlignment="1" applyProtection="1">
      <alignment wrapText="1"/>
      <protection locked="0"/>
    </xf>
    <xf numFmtId="7" fontId="11" fillId="0" borderId="6" xfId="0" applyFont="1" applyBorder="1" applyAlignment="1">
      <alignment horizontal="left" vertical="top" wrapText="1"/>
    </xf>
    <xf numFmtId="7" fontId="11" fillId="0" borderId="6" xfId="0" applyFont="1" applyBorder="1" applyAlignment="1">
      <alignment horizontal="center" vertical="top" wrapText="1"/>
    </xf>
    <xf numFmtId="37" fontId="13" fillId="0" borderId="0" xfId="0" applyNumberFormat="1" applyFont="1"/>
    <xf numFmtId="37" fontId="13" fillId="0" borderId="0" xfId="0" applyNumberFormat="1" applyFont="1" applyProtection="1">
      <protection locked="0"/>
    </xf>
    <xf numFmtId="37" fontId="26" fillId="0" borderId="0" xfId="0" applyNumberFormat="1" applyFont="1" applyProtection="1">
      <protection locked="0"/>
    </xf>
    <xf numFmtId="37" fontId="15" fillId="0" borderId="0" xfId="0" applyNumberFormat="1" applyFont="1"/>
    <xf numFmtId="166" fontId="13" fillId="0" borderId="0" xfId="1" applyNumberFormat="1" applyFont="1" applyProtection="1"/>
    <xf numFmtId="3" fontId="23" fillId="0" borderId="0" xfId="0" applyNumberFormat="1" applyFont="1"/>
    <xf numFmtId="7" fontId="23" fillId="0" borderId="0" xfId="0" applyFont="1"/>
    <xf numFmtId="3" fontId="13" fillId="0" borderId="0" xfId="0" applyNumberFormat="1" applyFont="1" applyAlignment="1" applyProtection="1">
      <alignment horizontal="right"/>
      <protection locked="0"/>
    </xf>
    <xf numFmtId="3" fontId="13" fillId="0" borderId="0" xfId="0" applyNumberFormat="1" applyFont="1" applyAlignment="1">
      <alignment horizontal="right"/>
    </xf>
    <xf numFmtId="7" fontId="15" fillId="0" borderId="0" xfId="0" applyFont="1" applyAlignment="1">
      <alignment horizontal="right"/>
    </xf>
    <xf numFmtId="1" fontId="9" fillId="0" borderId="0" xfId="0" applyNumberFormat="1" applyFont="1" applyAlignment="1">
      <alignment horizontal="centerContinuous"/>
    </xf>
    <xf numFmtId="1" fontId="9" fillId="0" borderId="0" xfId="0" applyNumberFormat="1" applyFont="1" applyProtection="1">
      <protection locked="0"/>
    </xf>
    <xf numFmtId="1" fontId="13" fillId="0" borderId="1" xfId="0" applyNumberFormat="1" applyFont="1" applyBorder="1" applyAlignment="1" applyProtection="1">
      <alignment horizontal="center" vertical="top"/>
      <protection locked="0"/>
    </xf>
    <xf numFmtId="1" fontId="13" fillId="0" borderId="0" xfId="0" applyNumberFormat="1" applyFont="1" applyAlignment="1" applyProtection="1">
      <alignment horizontal="right"/>
      <protection locked="0"/>
    </xf>
    <xf numFmtId="1" fontId="26" fillId="0" borderId="0" xfId="0" applyNumberFormat="1" applyFont="1" applyProtection="1">
      <protection locked="0"/>
    </xf>
    <xf numFmtId="1" fontId="20" fillId="0" borderId="0" xfId="0" applyNumberFormat="1" applyFont="1" applyProtection="1">
      <protection locked="0"/>
    </xf>
    <xf numFmtId="1" fontId="7" fillId="0" borderId="0" xfId="0" applyNumberFormat="1" applyFont="1"/>
    <xf numFmtId="1" fontId="0" fillId="0" borderId="0" xfId="0" applyNumberFormat="1"/>
    <xf numFmtId="37" fontId="10" fillId="0" borderId="0" xfId="0" applyNumberFormat="1" applyFont="1"/>
    <xf numFmtId="7" fontId="9" fillId="0" borderId="49" xfId="0" applyFont="1" applyBorder="1"/>
    <xf numFmtId="7" fontId="10" fillId="0" borderId="0" xfId="0" applyFont="1" applyAlignment="1">
      <alignment horizontal="centerContinuous"/>
    </xf>
    <xf numFmtId="7" fontId="9" fillId="0" borderId="50" xfId="0" applyFont="1" applyBorder="1"/>
    <xf numFmtId="37" fontId="10" fillId="0" borderId="0" xfId="0" applyNumberFormat="1" applyFont="1" applyAlignment="1">
      <alignment horizontal="center"/>
    </xf>
    <xf numFmtId="7" fontId="10" fillId="0" borderId="0" xfId="0" applyFont="1" applyAlignment="1">
      <alignment horizontal="center"/>
    </xf>
    <xf numFmtId="167" fontId="9" fillId="0" borderId="0" xfId="0" applyNumberFormat="1" applyFont="1" applyAlignment="1" applyProtection="1">
      <alignment horizontal="center"/>
      <protection locked="0"/>
    </xf>
    <xf numFmtId="7" fontId="10" fillId="0" borderId="51" xfId="0" applyFont="1" applyBorder="1" applyAlignment="1">
      <alignment horizontal="center"/>
    </xf>
    <xf numFmtId="37" fontId="15" fillId="0" borderId="0" xfId="0" applyNumberFormat="1" applyFont="1" applyAlignment="1">
      <alignment horizontal="center" vertical="top" wrapText="1"/>
    </xf>
    <xf numFmtId="7" fontId="15" fillId="0" borderId="1" xfId="0" applyFont="1" applyBorder="1" applyAlignment="1">
      <alignment horizontal="center" vertical="top" wrapText="1"/>
    </xf>
    <xf numFmtId="7" fontId="13" fillId="0" borderId="53" xfId="0" applyFont="1" applyBorder="1" applyAlignment="1" applyProtection="1">
      <alignment horizontal="center" vertical="top" wrapText="1"/>
      <protection locked="0"/>
    </xf>
    <xf numFmtId="7" fontId="13" fillId="0" borderId="54" xfId="0" applyFont="1" applyBorder="1" applyAlignment="1" applyProtection="1">
      <alignment horizontal="center" vertical="top" wrapText="1"/>
      <protection locked="0"/>
    </xf>
    <xf numFmtId="7" fontId="13" fillId="0" borderId="55" xfId="0" applyFont="1" applyBorder="1" applyAlignment="1" applyProtection="1">
      <alignment horizontal="center" vertical="top" wrapText="1"/>
      <protection locked="0"/>
    </xf>
    <xf numFmtId="7" fontId="13" fillId="0" borderId="56" xfId="0" applyFont="1" applyBorder="1" applyAlignment="1" applyProtection="1">
      <alignment horizontal="center" vertical="top" wrapText="1"/>
      <protection locked="0"/>
    </xf>
    <xf numFmtId="7" fontId="13" fillId="0" borderId="1" xfId="0" applyFont="1" applyBorder="1" applyAlignment="1" applyProtection="1">
      <alignment horizontal="center" vertical="top" wrapText="1"/>
      <protection locked="0"/>
    </xf>
    <xf numFmtId="7" fontId="26" fillId="0" borderId="55" xfId="0" applyFont="1" applyBorder="1" applyAlignment="1" applyProtection="1">
      <alignment vertical="top" wrapText="1"/>
      <protection locked="0"/>
    </xf>
    <xf numFmtId="7" fontId="26" fillId="0" borderId="0" xfId="0" applyFont="1" applyAlignment="1" applyProtection="1">
      <alignment vertical="top" wrapText="1"/>
      <protection locked="0"/>
    </xf>
    <xf numFmtId="49" fontId="26" fillId="0" borderId="57" xfId="0" applyNumberFormat="1" applyFont="1" applyBorder="1" applyAlignment="1" applyProtection="1">
      <alignment horizontal="center" vertical="top" wrapText="1"/>
      <protection locked="0"/>
    </xf>
    <xf numFmtId="7" fontId="26" fillId="0" borderId="58" xfId="0" applyFont="1" applyBorder="1" applyAlignment="1" applyProtection="1">
      <alignment horizontal="center" vertical="top" wrapText="1"/>
      <protection locked="0"/>
    </xf>
    <xf numFmtId="7" fontId="26" fillId="0" borderId="43" xfId="0" applyFont="1" applyBorder="1" applyAlignment="1">
      <alignment horizontal="center" vertical="top" wrapText="1"/>
    </xf>
    <xf numFmtId="37" fontId="31" fillId="0" borderId="0" xfId="0" applyNumberFormat="1" applyFont="1" applyAlignment="1">
      <alignment horizontal="center" vertical="top" wrapText="1"/>
    </xf>
    <xf numFmtId="7" fontId="31" fillId="0" borderId="1" xfId="0" applyFont="1" applyBorder="1" applyAlignment="1">
      <alignment horizontal="center" vertical="top" wrapText="1"/>
    </xf>
    <xf numFmtId="7" fontId="26" fillId="0" borderId="57" xfId="0" applyFont="1" applyBorder="1" applyAlignment="1" applyProtection="1">
      <alignment horizontal="center" vertical="top" wrapText="1"/>
      <protection locked="0"/>
    </xf>
    <xf numFmtId="7" fontId="26" fillId="0" borderId="59" xfId="0" applyFont="1" applyBorder="1" applyAlignment="1" applyProtection="1">
      <alignment horizontal="center" vertical="top" wrapText="1"/>
      <protection locked="0"/>
    </xf>
    <xf numFmtId="7" fontId="31" fillId="0" borderId="43" xfId="0" applyFont="1" applyBorder="1" applyAlignment="1">
      <alignment horizontal="center" vertical="top" wrapText="1"/>
    </xf>
    <xf numFmtId="7" fontId="26" fillId="0" borderId="60" xfId="0" applyFont="1" applyBorder="1" applyAlignment="1" applyProtection="1">
      <alignment horizontal="center" vertical="top" wrapText="1"/>
      <protection locked="0"/>
    </xf>
    <xf numFmtId="7" fontId="26" fillId="0" borderId="55" xfId="0" applyFont="1" applyBorder="1" applyAlignment="1" applyProtection="1">
      <alignment horizontal="center" vertical="top" wrapText="1"/>
      <protection locked="0"/>
    </xf>
    <xf numFmtId="7" fontId="31" fillId="0" borderId="61" xfId="0" applyFont="1" applyBorder="1" applyAlignment="1">
      <alignment vertical="top" wrapText="1"/>
    </xf>
    <xf numFmtId="7" fontId="26" fillId="0" borderId="56" xfId="0" applyFont="1" applyBorder="1" applyAlignment="1" applyProtection="1">
      <alignment horizontal="center" vertical="top" wrapText="1"/>
      <protection locked="0"/>
    </xf>
    <xf numFmtId="7" fontId="31" fillId="0" borderId="0" xfId="0" applyFont="1" applyAlignment="1">
      <alignment vertical="top" wrapText="1"/>
    </xf>
    <xf numFmtId="49" fontId="13" fillId="0" borderId="0" xfId="0" applyNumberFormat="1" applyFont="1" applyAlignment="1" applyProtection="1">
      <alignment horizontal="center"/>
      <protection locked="0"/>
    </xf>
    <xf numFmtId="166" fontId="15" fillId="0" borderId="0" xfId="1" applyNumberFormat="1" applyFont="1" applyBorder="1"/>
    <xf numFmtId="166" fontId="15" fillId="0" borderId="0" xfId="1" applyNumberFormat="1" applyFont="1"/>
    <xf numFmtId="166" fontId="15" fillId="0" borderId="0" xfId="1" applyNumberFormat="1" applyFont="1" applyFill="1"/>
    <xf numFmtId="7" fontId="15" fillId="0" borderId="0" xfId="0" applyFont="1" applyAlignment="1">
      <alignment horizontal="center"/>
    </xf>
    <xf numFmtId="7" fontId="13" fillId="0" borderId="62" xfId="0" applyFont="1" applyBorder="1" applyAlignment="1">
      <alignment horizontal="centerContinuous"/>
    </xf>
    <xf numFmtId="49" fontId="13" fillId="0" borderId="0" xfId="0" applyNumberFormat="1" applyFont="1" applyAlignment="1" applyProtection="1">
      <alignment horizontal="center" wrapText="1"/>
      <protection locked="0"/>
    </xf>
    <xf numFmtId="49" fontId="13" fillId="0" borderId="0" xfId="0" quotePrefix="1" applyNumberFormat="1" applyFont="1" applyAlignment="1" applyProtection="1">
      <alignment horizontal="center" wrapText="1"/>
      <protection locked="0"/>
    </xf>
    <xf numFmtId="3" fontId="13" fillId="0" borderId="63" xfId="0" applyNumberFormat="1" applyFont="1" applyBorder="1" applyProtection="1">
      <protection locked="0"/>
    </xf>
    <xf numFmtId="7" fontId="9" fillId="0" borderId="32" xfId="0" applyFont="1" applyBorder="1" applyAlignment="1" applyProtection="1">
      <alignment horizontal="left" wrapText="1"/>
      <protection locked="0"/>
    </xf>
    <xf numFmtId="7" fontId="15" fillId="0" borderId="0" xfId="0" quotePrefix="1" applyFont="1" applyAlignment="1">
      <alignment horizontal="left" wrapText="1"/>
    </xf>
    <xf numFmtId="7" fontId="13" fillId="0" borderId="29" xfId="0" applyFont="1" applyBorder="1"/>
    <xf numFmtId="7" fontId="13" fillId="0" borderId="29" xfId="0" applyFont="1" applyBorder="1" applyAlignment="1">
      <alignment horizontal="center"/>
    </xf>
    <xf numFmtId="37" fontId="15" fillId="0" borderId="0" xfId="1" applyNumberFormat="1" applyFont="1" applyAlignment="1">
      <alignment horizontal="center"/>
    </xf>
    <xf numFmtId="37" fontId="13" fillId="0" borderId="0" xfId="1" applyNumberFormat="1" applyFont="1" applyAlignment="1" applyProtection="1">
      <alignment horizontal="center"/>
    </xf>
    <xf numFmtId="7" fontId="10" fillId="0" borderId="0" xfId="0" applyFont="1" applyAlignment="1">
      <alignment horizontal="left" wrapText="1"/>
    </xf>
    <xf numFmtId="7" fontId="9" fillId="0" borderId="0" xfId="0" applyFont="1" applyAlignment="1" applyProtection="1">
      <protection locked="0"/>
    </xf>
    <xf numFmtId="14" fontId="9" fillId="0" borderId="0" xfId="0" applyNumberFormat="1" applyFont="1" applyAlignment="1" applyProtection="1">
      <protection locked="0"/>
    </xf>
    <xf numFmtId="7" fontId="9" fillId="0" borderId="0" xfId="0" applyFont="1" applyAlignment="1">
      <alignment vertical="top" wrapText="1"/>
    </xf>
    <xf numFmtId="7" fontId="13" fillId="0" borderId="0" xfId="0" applyFont="1" applyAlignment="1"/>
    <xf numFmtId="7" fontId="13" fillId="0" borderId="0" xfId="0" applyFont="1" applyAlignment="1" applyProtection="1">
      <protection locked="0"/>
    </xf>
    <xf numFmtId="7" fontId="13" fillId="0" borderId="0" xfId="0" quotePrefix="1" applyFont="1" applyAlignment="1" applyProtection="1">
      <protection locked="0"/>
    </xf>
    <xf numFmtId="7" fontId="7" fillId="0" borderId="0" xfId="0" applyFont="1" applyAlignment="1"/>
    <xf numFmtId="7" fontId="0" fillId="0" borderId="0" xfId="0" applyAlignment="1"/>
    <xf numFmtId="37" fontId="15" fillId="0" borderId="0" xfId="0" quotePrefix="1" applyNumberFormat="1" applyFont="1" applyAlignment="1">
      <alignment horizontal="center" wrapText="1"/>
    </xf>
    <xf numFmtId="7" fontId="11" fillId="0" borderId="25" xfId="0" applyFont="1" applyBorder="1" applyAlignment="1">
      <alignment horizontal="centerContinuous"/>
    </xf>
    <xf numFmtId="167" fontId="9" fillId="0" borderId="0" xfId="0" applyNumberFormat="1" applyFont="1" applyBorder="1" applyAlignment="1" applyProtection="1">
      <alignment horizontal="center"/>
      <protection locked="0"/>
    </xf>
    <xf numFmtId="7" fontId="9" fillId="0" borderId="0" xfId="0" applyFont="1" applyBorder="1"/>
    <xf numFmtId="7" fontId="13" fillId="0" borderId="25" xfId="0" applyFont="1" applyBorder="1" applyAlignment="1" applyProtection="1">
      <alignment horizontal="centerContinuous"/>
      <protection locked="0"/>
    </xf>
    <xf numFmtId="7" fontId="11" fillId="0" borderId="0" xfId="0" applyFont="1" applyBorder="1" applyAlignment="1" applyProtection="1">
      <alignment horizontal="center" vertical="top" wrapText="1"/>
      <protection locked="0"/>
    </xf>
    <xf numFmtId="3" fontId="13" fillId="0" borderId="0" xfId="0" applyNumberFormat="1" applyFont="1" applyBorder="1" applyProtection="1">
      <protection locked="0"/>
    </xf>
    <xf numFmtId="3" fontId="13" fillId="3" borderId="11" xfId="0" applyNumberFormat="1" applyFont="1" applyFill="1" applyBorder="1"/>
    <xf numFmtId="3" fontId="13" fillId="0" borderId="11" xfId="0" applyNumberFormat="1" applyFont="1" applyBorder="1"/>
    <xf numFmtId="3" fontId="13" fillId="3" borderId="64" xfId="0" applyNumberFormat="1" applyFont="1" applyFill="1" applyBorder="1"/>
    <xf numFmtId="7" fontId="34" fillId="0" borderId="0" xfId="0" applyFont="1" applyAlignment="1">
      <alignment horizontal="left" wrapText="1"/>
    </xf>
    <xf numFmtId="7" fontId="34" fillId="0" borderId="0" xfId="0" applyFont="1" applyAlignment="1" applyProtection="1">
      <alignment horizontal="left" vertical="center" wrapText="1"/>
      <protection locked="0"/>
    </xf>
    <xf numFmtId="7" fontId="35" fillId="0" borderId="0" xfId="0" applyFont="1" applyAlignment="1">
      <alignment horizontal="left" wrapText="1"/>
    </xf>
    <xf numFmtId="14" fontId="35" fillId="0" borderId="0" xfId="0" applyNumberFormat="1" applyFont="1" applyAlignment="1">
      <alignment horizontal="left" wrapText="1"/>
    </xf>
    <xf numFmtId="7" fontId="35" fillId="0" borderId="0" xfId="0" applyFont="1" applyAlignment="1" applyProtection="1">
      <alignment horizontal="left" vertical="center" wrapText="1"/>
      <protection locked="0"/>
    </xf>
    <xf numFmtId="3" fontId="35" fillId="0" borderId="0" xfId="0" applyNumberFormat="1" applyFont="1" applyProtection="1">
      <protection locked="0"/>
    </xf>
    <xf numFmtId="43" fontId="35" fillId="0" borderId="0" xfId="1" applyFont="1" applyFill="1" applyProtection="1">
      <protection locked="0"/>
    </xf>
    <xf numFmtId="3" fontId="35" fillId="0" borderId="0" xfId="0" applyNumberFormat="1" applyFont="1"/>
    <xf numFmtId="43" fontId="35" fillId="0" borderId="0" xfId="1" applyFont="1" applyFill="1" applyProtection="1"/>
    <xf numFmtId="166" fontId="35" fillId="0" borderId="0" xfId="1" applyNumberFormat="1" applyFont="1" applyFill="1" applyProtection="1">
      <protection locked="0"/>
    </xf>
    <xf numFmtId="3" fontId="35" fillId="0" borderId="7" xfId="0" applyNumberFormat="1" applyFont="1" applyBorder="1" applyProtection="1">
      <protection locked="0"/>
    </xf>
    <xf numFmtId="43" fontId="35" fillId="0" borderId="0" xfId="1" applyFont="1" applyProtection="1">
      <protection locked="0"/>
    </xf>
    <xf numFmtId="43" fontId="35" fillId="0" borderId="0" xfId="1" applyFont="1" applyBorder="1" applyProtection="1">
      <protection locked="0"/>
    </xf>
    <xf numFmtId="3" fontId="38" fillId="0" borderId="0" xfId="0" applyNumberFormat="1" applyFont="1"/>
    <xf numFmtId="7" fontId="34" fillId="0" borderId="0" xfId="0" applyFont="1" applyAlignment="1" applyProtection="1">
      <alignment wrapText="1"/>
      <protection locked="0"/>
    </xf>
    <xf numFmtId="7" fontId="34" fillId="0" borderId="0" xfId="0" applyFont="1"/>
    <xf numFmtId="164" fontId="34" fillId="0" borderId="0" xfId="0" applyNumberFormat="1" applyFont="1" applyAlignment="1" applyProtection="1">
      <alignment wrapText="1"/>
      <protection locked="0"/>
    </xf>
    <xf numFmtId="7" fontId="34" fillId="0" borderId="0" xfId="0" applyFont="1" applyAlignment="1" applyProtection="1">
      <alignment horizontal="left" vertical="center"/>
      <protection locked="0"/>
    </xf>
    <xf numFmtId="7" fontId="39" fillId="0" borderId="0" xfId="0" applyFont="1" applyProtection="1">
      <protection locked="0"/>
    </xf>
    <xf numFmtId="7" fontId="40" fillId="0" borderId="0" xfId="0" applyFont="1" applyProtection="1">
      <protection locked="0"/>
    </xf>
    <xf numFmtId="0" fontId="38" fillId="0" borderId="0" xfId="0" applyNumberFormat="1" applyFont="1" applyAlignment="1">
      <alignment horizontal="left"/>
    </xf>
    <xf numFmtId="7" fontId="35" fillId="0" borderId="0" xfId="0" applyFont="1" applyProtection="1">
      <protection locked="0"/>
    </xf>
    <xf numFmtId="0" fontId="38" fillId="0" borderId="0" xfId="0" quotePrefix="1" applyNumberFormat="1" applyFont="1" applyAlignment="1">
      <alignment horizontal="left"/>
    </xf>
    <xf numFmtId="7" fontId="35" fillId="0" borderId="0" xfId="0" applyFont="1"/>
    <xf numFmtId="7" fontId="34" fillId="0" borderId="0" xfId="0" applyFont="1" applyProtection="1">
      <protection locked="0"/>
    </xf>
    <xf numFmtId="7" fontId="41" fillId="0" borderId="0" xfId="0" applyFont="1"/>
    <xf numFmtId="7" fontId="34" fillId="0" borderId="0" xfId="0" applyFont="1" applyAlignment="1">
      <alignment horizontal="centerContinuous"/>
    </xf>
    <xf numFmtId="7" fontId="34" fillId="0" borderId="0" xfId="0" applyFont="1" applyAlignment="1">
      <alignment horizontal="right"/>
    </xf>
    <xf numFmtId="14" fontId="34" fillId="0" borderId="0" xfId="0" applyNumberFormat="1" applyFont="1" applyAlignment="1" applyProtection="1">
      <alignment horizontal="left" wrapText="1"/>
      <protection locked="0"/>
    </xf>
    <xf numFmtId="7" fontId="34" fillId="0" borderId="0" xfId="0" applyFont="1" applyAlignment="1" applyProtection="1">
      <alignment horizontal="centerContinuous" vertical="center"/>
      <protection locked="0"/>
    </xf>
    <xf numFmtId="7" fontId="34" fillId="0" borderId="0" xfId="0" applyFont="1" applyAlignment="1" applyProtection="1">
      <alignment horizontal="right" vertical="center"/>
      <protection locked="0"/>
    </xf>
    <xf numFmtId="7" fontId="34" fillId="0" borderId="0" xfId="0" applyFont="1" applyAlignment="1" applyProtection="1">
      <alignment horizontal="centerContinuous"/>
      <protection locked="0"/>
    </xf>
    <xf numFmtId="7" fontId="35" fillId="0" borderId="0" xfId="0" applyFont="1" applyAlignment="1" applyProtection="1">
      <alignment horizontal="center" wrapText="1"/>
      <protection locked="0"/>
    </xf>
    <xf numFmtId="7" fontId="35" fillId="0" borderId="0" xfId="0" quotePrefix="1" applyFont="1" applyAlignment="1" applyProtection="1">
      <alignment horizontal="center" wrapText="1"/>
      <protection locked="0"/>
    </xf>
    <xf numFmtId="3" fontId="35" fillId="0" borderId="0" xfId="0" quotePrefix="1" applyNumberFormat="1" applyFont="1" applyAlignment="1" applyProtection="1">
      <alignment horizontal="center" wrapText="1"/>
      <protection locked="0"/>
    </xf>
    <xf numFmtId="7" fontId="35" fillId="0" borderId="0" xfId="0" applyFont="1" applyAlignment="1">
      <alignment horizontal="center" wrapText="1"/>
    </xf>
    <xf numFmtId="7" fontId="34" fillId="0" borderId="0" xfId="0" applyFont="1" applyAlignment="1">
      <alignment wrapText="1"/>
    </xf>
    <xf numFmtId="7" fontId="41" fillId="0" borderId="0" xfId="0" applyFont="1" applyAlignment="1">
      <alignment wrapText="1"/>
    </xf>
    <xf numFmtId="7" fontId="34" fillId="0" borderId="0" xfId="0" applyFont="1" applyAlignment="1">
      <alignment horizontal="centerContinuous" wrapText="1"/>
    </xf>
    <xf numFmtId="7" fontId="34" fillId="0" borderId="0" xfId="0" applyFont="1" applyAlignment="1">
      <alignment horizontal="right" wrapText="1"/>
    </xf>
    <xf numFmtId="7" fontId="34" fillId="0" borderId="0" xfId="0" applyFont="1" applyAlignment="1" applyProtection="1">
      <alignment horizontal="centerContinuous" vertical="center" wrapText="1"/>
      <protection locked="0"/>
    </xf>
    <xf numFmtId="7" fontId="34" fillId="0" borderId="0" xfId="0" applyFont="1" applyAlignment="1" applyProtection="1">
      <alignment horizontal="right" vertical="center" wrapText="1"/>
      <protection locked="0"/>
    </xf>
    <xf numFmtId="7" fontId="34" fillId="0" borderId="0" xfId="0" applyFont="1" applyAlignment="1" applyProtection="1">
      <alignment vertical="center" wrapText="1"/>
      <protection locked="0"/>
    </xf>
    <xf numFmtId="7" fontId="34" fillId="0" borderId="0" xfId="0" applyFont="1" applyAlignment="1" applyProtection="1">
      <alignment horizontal="centerContinuous" wrapText="1"/>
      <protection locked="0"/>
    </xf>
    <xf numFmtId="3" fontId="35" fillId="0" borderId="0" xfId="0" applyNumberFormat="1" applyFont="1" applyAlignment="1" applyProtection="1">
      <alignment wrapText="1"/>
      <protection locked="0"/>
    </xf>
    <xf numFmtId="43" fontId="35" fillId="0" borderId="0" xfId="1" applyFont="1" applyFill="1" applyAlignment="1" applyProtection="1">
      <alignment wrapText="1"/>
    </xf>
    <xf numFmtId="43" fontId="35" fillId="0" borderId="0" xfId="1" applyFont="1" applyFill="1" applyAlignment="1" applyProtection="1">
      <alignment wrapText="1"/>
      <protection locked="0"/>
    </xf>
    <xf numFmtId="166" fontId="35" fillId="0" borderId="0" xfId="1" applyNumberFormat="1" applyFont="1" applyFill="1" applyAlignment="1" applyProtection="1">
      <alignment wrapText="1"/>
      <protection locked="0"/>
    </xf>
    <xf numFmtId="3" fontId="35" fillId="0" borderId="7" xfId="0" applyNumberFormat="1" applyFont="1" applyBorder="1" applyAlignment="1" applyProtection="1">
      <alignment wrapText="1"/>
      <protection locked="0"/>
    </xf>
    <xf numFmtId="7" fontId="34" fillId="0" borderId="0" xfId="0" applyFont="1" applyAlignment="1" applyProtection="1">
      <alignment horizontal="left" wrapText="1"/>
      <protection locked="0"/>
    </xf>
    <xf numFmtId="43" fontId="35" fillId="0" borderId="0" xfId="1" applyFont="1" applyAlignment="1" applyProtection="1">
      <alignment wrapText="1"/>
      <protection locked="0"/>
    </xf>
    <xf numFmtId="3" fontId="38" fillId="0" borderId="0" xfId="0" applyNumberFormat="1" applyFont="1" applyAlignment="1">
      <alignment wrapText="1"/>
    </xf>
    <xf numFmtId="7" fontId="34" fillId="0" borderId="0" xfId="0" applyFont="1" applyAlignment="1" applyProtection="1">
      <alignment horizontal="left"/>
      <protection locked="0"/>
    </xf>
    <xf numFmtId="7" fontId="34" fillId="0" borderId="0" xfId="0" applyFont="1" applyAlignment="1">
      <alignment horizontal="left"/>
    </xf>
    <xf numFmtId="7" fontId="41" fillId="0" borderId="0" xfId="0" applyFont="1" applyAlignment="1">
      <alignment horizontal="left"/>
    </xf>
    <xf numFmtId="0" fontId="38" fillId="0" borderId="0" xfId="0" applyNumberFormat="1" applyFont="1"/>
    <xf numFmtId="43" fontId="38" fillId="0" borderId="0" xfId="1" applyFont="1" applyFill="1"/>
    <xf numFmtId="7" fontId="34" fillId="0" borderId="0" xfId="0" applyFont="1" applyAlignment="1" applyProtection="1">
      <alignment horizontal="right"/>
      <protection locked="0"/>
    </xf>
    <xf numFmtId="1" fontId="35" fillId="0" borderId="0" xfId="1" applyNumberFormat="1" applyFont="1" applyFill="1" applyProtection="1">
      <protection locked="0"/>
    </xf>
    <xf numFmtId="7" fontId="35" fillId="0" borderId="0" xfId="0" applyFont="1" applyAlignment="1" applyProtection="1">
      <alignment horizontal="center"/>
      <protection locked="0"/>
    </xf>
    <xf numFmtId="3" fontId="35" fillId="0" borderId="0" xfId="0" quotePrefix="1" applyNumberFormat="1" applyFont="1" applyProtection="1">
      <protection locked="0"/>
    </xf>
    <xf numFmtId="7" fontId="35" fillId="0" borderId="0" xfId="0" quotePrefix="1" applyFont="1" applyAlignment="1" applyProtection="1">
      <alignment horizontal="center"/>
      <protection locked="0"/>
    </xf>
    <xf numFmtId="43" fontId="35" fillId="0" borderId="0" xfId="1" applyFont="1" applyBorder="1" applyAlignment="1" applyProtection="1">
      <alignment wrapText="1"/>
      <protection locked="0"/>
    </xf>
    <xf numFmtId="3" fontId="35" fillId="0" borderId="0" xfId="0" quotePrefix="1" applyNumberFormat="1" applyFont="1" applyAlignment="1" applyProtection="1">
      <alignment wrapText="1"/>
      <protection locked="0"/>
    </xf>
    <xf numFmtId="43" fontId="35" fillId="0" borderId="0" xfId="1" quotePrefix="1" applyFont="1" applyAlignment="1" applyProtection="1">
      <alignment wrapText="1"/>
      <protection locked="0"/>
    </xf>
    <xf numFmtId="3" fontId="35" fillId="0" borderId="0" xfId="0" applyNumberFormat="1" applyFont="1" applyAlignment="1">
      <alignment wrapText="1"/>
    </xf>
    <xf numFmtId="43" fontId="35" fillId="0" borderId="0" xfId="1" applyFont="1" applyProtection="1"/>
    <xf numFmtId="7" fontId="43" fillId="0" borderId="0" xfId="0" applyFont="1" applyAlignment="1" applyProtection="1">
      <alignment horizontal="center" vertical="top" wrapText="1"/>
      <protection locked="0"/>
    </xf>
    <xf numFmtId="7" fontId="43" fillId="0" borderId="33" xfId="0" applyFont="1" applyBorder="1" applyAlignment="1" applyProtection="1">
      <alignment horizontal="center" vertical="top" wrapText="1"/>
      <protection locked="0"/>
    </xf>
    <xf numFmtId="7" fontId="43" fillId="0" borderId="32" xfId="0" applyFont="1" applyBorder="1" applyAlignment="1">
      <alignment horizontal="center" vertical="top" wrapText="1"/>
    </xf>
    <xf numFmtId="7" fontId="43" fillId="0" borderId="32" xfId="0" applyFont="1" applyBorder="1" applyAlignment="1" applyProtection="1">
      <alignment horizontal="center" vertical="top" wrapText="1"/>
      <protection locked="0"/>
    </xf>
    <xf numFmtId="7" fontId="43" fillId="0" borderId="34" xfId="0" applyFont="1" applyBorder="1" applyAlignment="1" applyProtection="1">
      <alignment horizontal="center" vertical="top" wrapText="1"/>
      <protection locked="0"/>
    </xf>
    <xf numFmtId="7" fontId="43" fillId="0" borderId="0" xfId="0" applyFont="1" applyAlignment="1">
      <alignment horizontal="center" vertical="top" wrapText="1"/>
    </xf>
    <xf numFmtId="7" fontId="43" fillId="0" borderId="35" xfId="0" applyFont="1" applyBorder="1" applyAlignment="1" applyProtection="1">
      <alignment horizontal="center" vertical="top" wrapText="1"/>
      <protection locked="0"/>
    </xf>
    <xf numFmtId="7" fontId="43" fillId="0" borderId="22" xfId="0" applyFont="1" applyBorder="1" applyAlignment="1">
      <alignment horizontal="center" vertical="top" wrapText="1"/>
    </xf>
    <xf numFmtId="7" fontId="43" fillId="0" borderId="22" xfId="0" applyFont="1" applyBorder="1" applyAlignment="1" applyProtection="1">
      <alignment horizontal="center" vertical="top" wrapText="1"/>
      <protection locked="0"/>
    </xf>
    <xf numFmtId="7" fontId="43" fillId="0" borderId="36" xfId="0" applyFont="1" applyBorder="1" applyAlignment="1" applyProtection="1">
      <alignment horizontal="center" vertical="top" wrapText="1"/>
      <protection locked="0"/>
    </xf>
    <xf numFmtId="7" fontId="43" fillId="0" borderId="37" xfId="0" applyFont="1" applyBorder="1" applyAlignment="1" applyProtection="1">
      <alignment horizontal="center" vertical="top" wrapText="1"/>
      <protection locked="0"/>
    </xf>
    <xf numFmtId="7" fontId="43" fillId="0" borderId="38" xfId="0" applyFont="1" applyBorder="1" applyAlignment="1" applyProtection="1">
      <alignment horizontal="center" vertical="top" wrapText="1"/>
      <protection locked="0"/>
    </xf>
    <xf numFmtId="167" fontId="35" fillId="0" borderId="0" xfId="0" applyNumberFormat="1" applyFont="1" applyProtection="1">
      <protection locked="0"/>
    </xf>
    <xf numFmtId="1" fontId="35" fillId="0" borderId="0" xfId="0" applyNumberFormat="1" applyFont="1" applyProtection="1">
      <protection locked="0"/>
    </xf>
    <xf numFmtId="14" fontId="34" fillId="0" borderId="0" xfId="0" applyNumberFormat="1" applyFont="1" applyAlignment="1" applyProtection="1">
      <alignment horizontal="left"/>
      <protection locked="0"/>
    </xf>
    <xf numFmtId="7" fontId="35" fillId="0" borderId="0" xfId="0" applyFont="1" applyAlignment="1">
      <alignment horizontal="center"/>
    </xf>
    <xf numFmtId="7" fontId="41" fillId="0" borderId="0" xfId="0" applyFont="1" applyAlignment="1">
      <alignment horizontal="left" wrapText="1"/>
    </xf>
    <xf numFmtId="3" fontId="35" fillId="0" borderId="0" xfId="1" applyNumberFormat="1" applyFont="1" applyFill="1" applyAlignment="1" applyProtection="1">
      <alignment wrapText="1"/>
      <protection locked="0"/>
    </xf>
    <xf numFmtId="7" fontId="34" fillId="0" borderId="0" xfId="0" applyFont="1" applyAlignment="1">
      <alignment horizontal="centerContinuous" vertical="top" wrapText="1"/>
    </xf>
    <xf numFmtId="7" fontId="38" fillId="0" borderId="0" xfId="0" applyFont="1" applyAlignment="1">
      <alignment horizontal="center" wrapText="1"/>
    </xf>
    <xf numFmtId="7" fontId="34" fillId="0" borderId="0" xfId="0" applyFont="1" applyAlignment="1" applyProtection="1">
      <alignment horizontal="right" wrapText="1"/>
      <protection locked="0"/>
    </xf>
    <xf numFmtId="7" fontId="34" fillId="0" borderId="0" xfId="0" applyFont="1" applyAlignment="1" applyProtection="1">
      <alignment horizontal="centerContinuous" vertical="top" wrapText="1"/>
      <protection locked="0"/>
    </xf>
    <xf numFmtId="7" fontId="41" fillId="0" borderId="0" xfId="0" applyFont="1" applyAlignment="1">
      <alignment horizontal="centerContinuous" wrapText="1"/>
    </xf>
    <xf numFmtId="7" fontId="34" fillId="0" borderId="0" xfId="0" applyFont="1" applyAlignment="1" applyProtection="1">
      <alignment horizontal="center" wrapText="1"/>
      <protection locked="0"/>
    </xf>
    <xf numFmtId="167" fontId="34" fillId="0" borderId="0" xfId="0" applyNumberFormat="1" applyFont="1" applyAlignment="1" applyProtection="1">
      <alignment wrapText="1"/>
      <protection locked="0"/>
    </xf>
    <xf numFmtId="7" fontId="34" fillId="0" borderId="0" xfId="0" applyFont="1" applyAlignment="1">
      <alignment horizontal="center" wrapText="1"/>
    </xf>
    <xf numFmtId="166" fontId="35" fillId="0" borderId="0" xfId="1" applyNumberFormat="1" applyFont="1" applyAlignment="1" applyProtection="1">
      <alignment wrapText="1"/>
      <protection locked="0"/>
    </xf>
    <xf numFmtId="3" fontId="38" fillId="0" borderId="0" xfId="0" applyNumberFormat="1" applyFont="1" applyAlignment="1">
      <alignment horizontal="right" wrapText="1"/>
    </xf>
    <xf numFmtId="43" fontId="35" fillId="0" borderId="0" xfId="1" applyFont="1" applyFill="1" applyBorder="1" applyAlignment="1" applyProtection="1">
      <alignment wrapText="1"/>
      <protection locked="0"/>
    </xf>
    <xf numFmtId="166" fontId="35" fillId="0" borderId="0" xfId="1" applyNumberFormat="1" applyFont="1" applyFill="1" applyAlignment="1" applyProtection="1">
      <alignment wrapText="1"/>
    </xf>
    <xf numFmtId="3" fontId="35" fillId="0" borderId="43" xfId="0" applyNumberFormat="1" applyFont="1" applyBorder="1" applyAlignment="1" applyProtection="1">
      <alignment wrapText="1"/>
      <protection locked="0"/>
    </xf>
    <xf numFmtId="7" fontId="34" fillId="0" borderId="0" xfId="0" applyFont="1" applyAlignment="1">
      <alignment horizontal="left" vertical="top" wrapText="1"/>
    </xf>
    <xf numFmtId="7" fontId="36" fillId="0" borderId="3" xfId="0" quotePrefix="1" applyFont="1" applyBorder="1" applyAlignment="1" applyProtection="1">
      <alignment horizontal="center" vertical="center" wrapText="1"/>
      <protection locked="0"/>
    </xf>
    <xf numFmtId="7" fontId="36" fillId="0" borderId="4" xfId="0" applyFont="1" applyBorder="1" applyAlignment="1">
      <alignment horizontal="center" vertical="center" wrapText="1"/>
    </xf>
    <xf numFmtId="7" fontId="36" fillId="0" borderId="5" xfId="0" applyFont="1" applyBorder="1" applyAlignment="1">
      <alignment horizontal="center" vertical="center" wrapText="1"/>
    </xf>
    <xf numFmtId="7" fontId="36" fillId="0" borderId="6" xfId="0" applyFont="1" applyBorder="1" applyAlignment="1" applyProtection="1">
      <alignment horizontal="center" vertical="center" wrapText="1"/>
      <protection locked="0"/>
    </xf>
    <xf numFmtId="7" fontId="36" fillId="0" borderId="2" xfId="0" applyFont="1" applyBorder="1" applyAlignment="1">
      <alignment horizontal="center" vertical="center" wrapText="1"/>
    </xf>
    <xf numFmtId="7" fontId="36" fillId="0" borderId="8" xfId="0" applyFont="1" applyBorder="1" applyAlignment="1" applyProtection="1">
      <alignment horizontal="center" vertical="center" wrapText="1"/>
      <protection locked="0"/>
    </xf>
    <xf numFmtId="7" fontId="37" fillId="0" borderId="9" xfId="0" applyFont="1" applyBorder="1" applyAlignment="1">
      <alignment horizontal="center" vertical="center" wrapText="1"/>
    </xf>
    <xf numFmtId="7" fontId="36" fillId="0" borderId="9" xfId="0" applyFont="1" applyBorder="1" applyAlignment="1" applyProtection="1">
      <alignment horizontal="center" vertical="center" wrapText="1"/>
      <protection locked="0"/>
    </xf>
    <xf numFmtId="7" fontId="36" fillId="0" borderId="10" xfId="0" applyFont="1" applyBorder="1" applyAlignment="1">
      <alignment horizontal="center" vertical="center" wrapText="1"/>
    </xf>
    <xf numFmtId="7" fontId="36" fillId="0" borderId="11" xfId="0" applyFont="1" applyBorder="1" applyAlignment="1" applyProtection="1">
      <alignment horizontal="center" vertical="center" wrapText="1"/>
      <protection locked="0"/>
    </xf>
    <xf numFmtId="7" fontId="4" fillId="0" borderId="0" xfId="0" applyFont="1" applyFill="1"/>
    <xf numFmtId="7" fontId="19" fillId="0" borderId="0" xfId="0" applyFont="1" applyFill="1"/>
    <xf numFmtId="7" fontId="12" fillId="0" borderId="0" xfId="0" applyFont="1" applyFill="1" applyAlignment="1">
      <alignment horizontal="center" vertical="top" wrapText="1"/>
    </xf>
    <xf numFmtId="3" fontId="5" fillId="0" borderId="0" xfId="0" applyNumberFormat="1" applyFont="1" applyFill="1"/>
    <xf numFmtId="7" fontId="5" fillId="0" borderId="0" xfId="0" applyFont="1" applyFill="1"/>
    <xf numFmtId="7" fontId="0" fillId="0" borderId="0" xfId="0" applyFill="1"/>
    <xf numFmtId="3" fontId="15" fillId="0" borderId="0" xfId="0" applyNumberFormat="1" applyFont="1" applyFill="1"/>
    <xf numFmtId="7" fontId="15" fillId="0" borderId="0" xfId="0" applyFont="1" applyFill="1"/>
    <xf numFmtId="3" fontId="0" fillId="0" borderId="0" xfId="0" applyNumberFormat="1" applyFill="1"/>
    <xf numFmtId="7" fontId="35" fillId="0" borderId="12" xfId="0" applyFont="1" applyBorder="1" applyAlignment="1">
      <alignment horizontal="center" vertical="center" wrapText="1"/>
    </xf>
    <xf numFmtId="7" fontId="35" fillId="0" borderId="14" xfId="0" applyFont="1" applyBorder="1" applyAlignment="1" applyProtection="1">
      <alignment horizontal="center" vertical="center" wrapText="1"/>
      <protection locked="0"/>
    </xf>
    <xf numFmtId="165" fontId="35" fillId="0" borderId="0" xfId="0" applyNumberFormat="1" applyFont="1" applyAlignment="1" applyProtection="1">
      <alignment horizontal="center" wrapText="1"/>
      <protection locked="0"/>
    </xf>
    <xf numFmtId="7" fontId="35" fillId="0" borderId="0" xfId="0" applyFont="1" applyAlignment="1" applyProtection="1">
      <alignment horizontal="center" vertical="center" wrapText="1"/>
      <protection locked="0"/>
    </xf>
    <xf numFmtId="7" fontId="35" fillId="0" borderId="0" xfId="0" quotePrefix="1" applyFont="1" applyAlignment="1" applyProtection="1">
      <alignment horizontal="center" vertical="center" wrapText="1"/>
      <protection locked="0"/>
    </xf>
    <xf numFmtId="3" fontId="35" fillId="0" borderId="0" xfId="0" quotePrefix="1" applyNumberFormat="1" applyFont="1" applyAlignment="1" applyProtection="1">
      <alignment horizontal="center" vertical="center" wrapText="1"/>
      <protection locked="0"/>
    </xf>
    <xf numFmtId="7" fontId="35" fillId="0" borderId="11" xfId="0" applyFont="1" applyBorder="1" applyAlignment="1" applyProtection="1">
      <alignment horizontal="center" vertical="center" wrapText="1"/>
      <protection locked="0"/>
    </xf>
    <xf numFmtId="7" fontId="36" fillId="0" borderId="12" xfId="0" applyFont="1" applyBorder="1" applyAlignment="1" applyProtection="1">
      <alignment horizontal="center" vertical="center" wrapText="1"/>
      <protection locked="0"/>
    </xf>
    <xf numFmtId="7" fontId="35" fillId="0" borderId="9" xfId="0" applyFont="1" applyBorder="1" applyAlignment="1" applyProtection="1">
      <alignment horizontal="center" vertical="center" wrapText="1"/>
      <protection locked="0"/>
    </xf>
    <xf numFmtId="7" fontId="35" fillId="0" borderId="10" xfId="0" applyFont="1" applyBorder="1" applyAlignment="1" applyProtection="1">
      <alignment horizontal="center" vertical="center" wrapText="1"/>
      <protection locked="0"/>
    </xf>
    <xf numFmtId="7" fontId="35" fillId="0" borderId="6" xfId="0" applyFont="1" applyBorder="1" applyAlignment="1" applyProtection="1">
      <alignment horizontal="center" vertical="center" wrapText="1"/>
      <protection locked="0"/>
    </xf>
    <xf numFmtId="7" fontId="35" fillId="0" borderId="8" xfId="0" applyFont="1" applyBorder="1" applyAlignment="1" applyProtection="1">
      <alignment horizontal="center" vertical="center" wrapText="1"/>
      <protection locked="0"/>
    </xf>
    <xf numFmtId="7" fontId="11" fillId="0" borderId="12" xfId="0" applyFont="1" applyBorder="1" applyAlignment="1">
      <alignment horizontal="center" vertical="center" wrapText="1"/>
    </xf>
    <xf numFmtId="7" fontId="42" fillId="0" borderId="15" xfId="0" applyFont="1" applyBorder="1" applyAlignment="1">
      <alignment horizontal="center" vertical="center" wrapText="1"/>
    </xf>
    <xf numFmtId="7" fontId="7" fillId="0" borderId="0" xfId="0" applyFont="1" applyAlignment="1">
      <alignment horizontal="center" vertical="center"/>
    </xf>
    <xf numFmtId="7" fontId="36" fillId="0" borderId="16" xfId="0" applyFont="1" applyBorder="1" applyAlignment="1" applyProtection="1">
      <alignment horizontal="center" vertical="center" wrapText="1"/>
      <protection locked="0"/>
    </xf>
    <xf numFmtId="7" fontId="35" fillId="0" borderId="17" xfId="0" applyFont="1" applyBorder="1" applyAlignment="1" applyProtection="1">
      <alignment horizontal="center" vertical="center" wrapText="1"/>
      <protection locked="0"/>
    </xf>
    <xf numFmtId="7" fontId="35" fillId="0" borderId="18" xfId="0" applyFont="1" applyBorder="1" applyAlignment="1" applyProtection="1">
      <alignment horizontal="center" vertical="center" wrapText="1"/>
      <protection locked="0"/>
    </xf>
    <xf numFmtId="7" fontId="35" fillId="0" borderId="19" xfId="0" applyFont="1" applyBorder="1" applyAlignment="1" applyProtection="1">
      <alignment horizontal="center" vertical="center" wrapText="1"/>
      <protection locked="0"/>
    </xf>
    <xf numFmtId="7" fontId="35" fillId="0" borderId="20" xfId="0" applyFont="1" applyBorder="1" applyAlignment="1" applyProtection="1">
      <alignment horizontal="center" vertical="center" wrapText="1"/>
      <protection locked="0"/>
    </xf>
    <xf numFmtId="7" fontId="36" fillId="0" borderId="12" xfId="0" applyFont="1" applyBorder="1" applyAlignment="1">
      <alignment horizontal="center" vertical="center" wrapText="1"/>
    </xf>
    <xf numFmtId="7" fontId="35" fillId="0" borderId="12" xfId="0" applyFont="1" applyBorder="1" applyAlignment="1" applyProtection="1">
      <alignment horizontal="center" vertical="center" wrapText="1"/>
      <protection locked="0"/>
    </xf>
    <xf numFmtId="7" fontId="35" fillId="0" borderId="21" xfId="0" applyFont="1" applyBorder="1" applyAlignment="1" applyProtection="1">
      <alignment horizontal="center" vertical="center" wrapText="1"/>
      <protection locked="0"/>
    </xf>
    <xf numFmtId="7" fontId="35" fillId="0" borderId="15" xfId="0" applyFont="1" applyBorder="1" applyAlignment="1" applyProtection="1">
      <alignment horizontal="center" vertical="center" wrapText="1"/>
      <protection locked="0"/>
    </xf>
    <xf numFmtId="7" fontId="36" fillId="0" borderId="23" xfId="0" applyFont="1" applyBorder="1" applyAlignment="1" applyProtection="1">
      <alignment horizontal="center" vertical="center" wrapText="1"/>
      <protection locked="0"/>
    </xf>
    <xf numFmtId="7" fontId="37" fillId="0" borderId="11" xfId="0" applyFont="1" applyBorder="1" applyAlignment="1">
      <alignment horizontal="center" vertical="center" wrapText="1"/>
    </xf>
    <xf numFmtId="7" fontId="36" fillId="0" borderId="21" xfId="0" applyFont="1" applyBorder="1" applyAlignment="1" applyProtection="1">
      <alignment horizontal="center" vertical="center" wrapText="1"/>
      <protection locked="0"/>
    </xf>
    <xf numFmtId="7" fontId="36" fillId="0" borderId="14" xfId="0" applyFont="1" applyBorder="1" applyAlignment="1" applyProtection="1">
      <alignment horizontal="center" vertical="center" wrapText="1"/>
      <protection locked="0"/>
    </xf>
    <xf numFmtId="7" fontId="36" fillId="0" borderId="15" xfId="0" applyFont="1" applyBorder="1" applyAlignment="1" applyProtection="1">
      <alignment horizontal="center" vertical="center" wrapText="1"/>
      <protection locked="0"/>
    </xf>
    <xf numFmtId="7" fontId="36" fillId="0" borderId="3" xfId="0" applyFont="1" applyBorder="1" applyAlignment="1">
      <alignment horizontal="center" vertical="center" wrapText="1"/>
    </xf>
    <xf numFmtId="7" fontId="36" fillId="0" borderId="0" xfId="0" applyFont="1" applyAlignment="1">
      <alignment horizontal="center" vertical="center" wrapText="1"/>
    </xf>
    <xf numFmtId="7" fontId="36" fillId="0" borderId="28" xfId="0" applyFont="1" applyBorder="1" applyAlignment="1" applyProtection="1">
      <alignment horizontal="center" vertical="center" wrapText="1"/>
      <protection locked="0"/>
    </xf>
    <xf numFmtId="7" fontId="36" fillId="0" borderId="29" xfId="0" applyFont="1" applyBorder="1" applyAlignment="1">
      <alignment horizontal="center" vertical="center" wrapText="1"/>
    </xf>
    <xf numFmtId="7" fontId="36" fillId="0" borderId="29" xfId="0" applyFont="1" applyBorder="1" applyAlignment="1" applyProtection="1">
      <alignment horizontal="center" vertical="center" wrapText="1"/>
      <protection locked="0"/>
    </xf>
    <xf numFmtId="7" fontId="36" fillId="0" borderId="30" xfId="0" applyFont="1" applyBorder="1" applyAlignment="1" applyProtection="1">
      <alignment horizontal="center" vertical="center" wrapText="1"/>
      <protection locked="0"/>
    </xf>
    <xf numFmtId="7" fontId="37" fillId="0" borderId="31" xfId="0" applyFont="1" applyBorder="1" applyAlignment="1">
      <alignment horizontal="center" vertical="center" wrapText="1"/>
    </xf>
    <xf numFmtId="7" fontId="36" fillId="0" borderId="32" xfId="0" applyFont="1" applyBorder="1" applyAlignment="1">
      <alignment horizontal="center" vertical="center" wrapText="1"/>
    </xf>
    <xf numFmtId="7" fontId="36" fillId="0" borderId="39" xfId="0" applyFont="1" applyBorder="1" applyAlignment="1" applyProtection="1">
      <alignment horizontal="center" vertical="center" wrapText="1"/>
      <protection locked="0"/>
    </xf>
    <xf numFmtId="7" fontId="36" fillId="0" borderId="40" xfId="0" applyFont="1" applyBorder="1" applyAlignment="1" applyProtection="1">
      <alignment horizontal="center" vertical="center" wrapText="1"/>
      <protection locked="0"/>
    </xf>
    <xf numFmtId="7" fontId="36" fillId="0" borderId="27" xfId="0" applyFont="1" applyBorder="1" applyAlignment="1" applyProtection="1">
      <alignment horizontal="center" vertical="center" wrapText="1"/>
      <protection locked="0"/>
    </xf>
    <xf numFmtId="7" fontId="36" fillId="0" borderId="2" xfId="0" applyFont="1" applyBorder="1" applyAlignment="1" applyProtection="1">
      <alignment horizontal="center" vertical="center" wrapText="1"/>
      <protection locked="0"/>
    </xf>
    <xf numFmtId="7" fontId="35" fillId="0" borderId="8" xfId="0" applyFont="1" applyBorder="1" applyAlignment="1">
      <alignment horizontal="center" vertical="center" wrapText="1"/>
    </xf>
    <xf numFmtId="7" fontId="35" fillId="0" borderId="9" xfId="0" applyFont="1" applyBorder="1" applyAlignment="1">
      <alignment horizontal="center" vertical="center" wrapText="1"/>
    </xf>
    <xf numFmtId="7" fontId="35" fillId="0" borderId="10" xfId="0" applyFont="1" applyBorder="1" applyAlignment="1">
      <alignment horizontal="center" vertical="center" wrapText="1"/>
    </xf>
    <xf numFmtId="7" fontId="38" fillId="0" borderId="10" xfId="0" applyFont="1" applyBorder="1" applyAlignment="1">
      <alignment horizontal="center" vertical="center" wrapText="1"/>
    </xf>
    <xf numFmtId="7" fontId="35" fillId="0" borderId="3" xfId="0" applyFont="1" applyBorder="1" applyAlignment="1">
      <alignment horizontal="center" vertical="center" wrapText="1"/>
    </xf>
    <xf numFmtId="7" fontId="35" fillId="0" borderId="4" xfId="0" applyFont="1" applyBorder="1" applyAlignment="1">
      <alignment horizontal="center" vertical="center" wrapText="1"/>
    </xf>
    <xf numFmtId="7" fontId="42" fillId="0" borderId="4" xfId="0" applyFont="1" applyBorder="1" applyAlignment="1">
      <alignment horizontal="center" vertical="center" wrapText="1"/>
    </xf>
    <xf numFmtId="7" fontId="38" fillId="0" borderId="5" xfId="0" applyFont="1" applyBorder="1" applyAlignment="1">
      <alignment horizontal="center" vertical="center" wrapText="1"/>
    </xf>
    <xf numFmtId="7" fontId="35" fillId="0" borderId="41" xfId="0" applyFont="1" applyBorder="1" applyAlignment="1" applyProtection="1">
      <alignment horizontal="center" vertical="center" wrapText="1"/>
      <protection locked="0"/>
    </xf>
    <xf numFmtId="7" fontId="35" fillId="0" borderId="42" xfId="0" applyFont="1" applyBorder="1" applyAlignment="1">
      <alignment horizontal="center" vertical="center" wrapText="1"/>
    </xf>
    <xf numFmtId="7" fontId="38" fillId="0" borderId="42" xfId="0" applyFont="1" applyBorder="1" applyAlignment="1">
      <alignment horizontal="center" vertical="center" wrapText="1"/>
    </xf>
    <xf numFmtId="7" fontId="35" fillId="0" borderId="42" xfId="0" applyFont="1" applyBorder="1" applyAlignment="1" applyProtection="1">
      <alignment horizontal="center" vertical="center" wrapText="1"/>
      <protection locked="0"/>
    </xf>
    <xf numFmtId="7" fontId="11" fillId="0" borderId="44" xfId="0" applyFont="1" applyBorder="1" applyAlignment="1">
      <alignment horizontal="center" vertical="center" wrapText="1"/>
    </xf>
    <xf numFmtId="7" fontId="13" fillId="0" borderId="45" xfId="0" applyFont="1" applyBorder="1" applyAlignment="1">
      <alignment horizontal="center" vertical="center" wrapText="1"/>
    </xf>
    <xf numFmtId="7" fontId="13" fillId="0" borderId="13" xfId="0" applyFont="1" applyBorder="1" applyAlignment="1">
      <alignment horizontal="center" vertical="center" wrapText="1"/>
    </xf>
    <xf numFmtId="7" fontId="13" fillId="0" borderId="46" xfId="0" applyFont="1" applyBorder="1" applyAlignment="1" applyProtection="1">
      <alignment horizontal="center" vertical="center" wrapText="1"/>
      <protection locked="0"/>
    </xf>
    <xf numFmtId="7" fontId="13" fillId="0" borderId="45" xfId="0" applyFont="1" applyBorder="1" applyAlignment="1" applyProtection="1">
      <alignment horizontal="center" vertical="center" wrapText="1"/>
      <protection locked="0"/>
    </xf>
    <xf numFmtId="7" fontId="13" fillId="0" borderId="46" xfId="0" applyFont="1" applyBorder="1" applyAlignment="1">
      <alignment horizontal="center" vertical="center" wrapText="1"/>
    </xf>
    <xf numFmtId="14" fontId="9" fillId="0" borderId="0" xfId="0" applyNumberFormat="1" applyFont="1" applyAlignment="1" applyProtection="1">
      <alignment wrapText="1"/>
      <protection locked="0"/>
    </xf>
    <xf numFmtId="7" fontId="9" fillId="0" borderId="0" xfId="0" applyFont="1" applyAlignment="1" applyProtection="1">
      <alignment vertical="center" wrapText="1"/>
      <protection locked="0"/>
    </xf>
    <xf numFmtId="7" fontId="15" fillId="0" borderId="21" xfId="0" applyFont="1" applyBorder="1" applyAlignment="1">
      <alignment horizontal="center" vertical="center" wrapText="1"/>
    </xf>
    <xf numFmtId="7" fontId="13" fillId="0" borderId="14" xfId="0" applyFont="1" applyBorder="1" applyAlignment="1" applyProtection="1">
      <alignment horizontal="center" vertical="center" wrapText="1"/>
      <protection locked="0"/>
    </xf>
    <xf numFmtId="7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8" xfId="0" quotePrefix="1" applyNumberFormat="1" applyFont="1" applyBorder="1" applyAlignment="1" applyProtection="1">
      <alignment horizontal="center" vertical="center" wrapText="1"/>
      <protection locked="0"/>
    </xf>
    <xf numFmtId="7" fontId="13" fillId="0" borderId="9" xfId="0" applyFont="1" applyBorder="1" applyAlignment="1" applyProtection="1">
      <alignment horizontal="center" vertical="center" wrapText="1"/>
      <protection locked="0"/>
    </xf>
    <xf numFmtId="7" fontId="11" fillId="0" borderId="11" xfId="0" applyFont="1" applyBorder="1" applyAlignment="1" applyProtection="1">
      <alignment horizontal="center" vertical="center" wrapText="1"/>
      <protection locked="0"/>
    </xf>
    <xf numFmtId="7" fontId="11" fillId="0" borderId="12" xfId="0" applyFont="1" applyBorder="1" applyAlignment="1" applyProtection="1">
      <alignment horizontal="center" vertical="center" wrapText="1"/>
      <protection locked="0"/>
    </xf>
    <xf numFmtId="7" fontId="13" fillId="0" borderId="10" xfId="0" applyFont="1" applyBorder="1" applyAlignment="1" applyProtection="1">
      <alignment horizontal="center" vertical="center" wrapText="1"/>
      <protection locked="0"/>
    </xf>
    <xf numFmtId="7" fontId="11" fillId="0" borderId="47" xfId="0" applyFont="1" applyBorder="1" applyAlignment="1" applyProtection="1">
      <alignment horizontal="center" vertical="center" wrapText="1"/>
      <protection locked="0"/>
    </xf>
    <xf numFmtId="7" fontId="13" fillId="0" borderId="6" xfId="0" applyFont="1" applyBorder="1" applyAlignment="1" applyProtection="1">
      <alignment horizontal="center" vertical="center" wrapText="1"/>
      <protection locked="0"/>
    </xf>
    <xf numFmtId="7" fontId="13" fillId="0" borderId="48" xfId="0" applyFont="1" applyBorder="1" applyAlignment="1" applyProtection="1">
      <alignment horizontal="center" vertical="center" wrapText="1"/>
      <protection locked="0"/>
    </xf>
    <xf numFmtId="7" fontId="11" fillId="0" borderId="6" xfId="0" applyFont="1" applyBorder="1" applyAlignment="1" applyProtection="1">
      <alignment horizontal="center" vertical="center" wrapText="1"/>
      <protection locked="0"/>
    </xf>
    <xf numFmtId="7" fontId="11" fillId="0" borderId="6" xfId="0" applyFont="1" applyBorder="1" applyAlignment="1">
      <alignment horizontal="center" vertical="center" wrapText="1"/>
    </xf>
    <xf numFmtId="0" fontId="13" fillId="0" borderId="0" xfId="0" applyNumberFormat="1" applyFont="1" applyAlignment="1" applyProtection="1">
      <alignment horizontal="center" wrapText="1"/>
      <protection locked="0"/>
    </xf>
    <xf numFmtId="37" fontId="13" fillId="0" borderId="0" xfId="0" applyNumberFormat="1" applyFont="1" applyAlignment="1">
      <alignment horizontal="center" wrapText="1"/>
    </xf>
    <xf numFmtId="7" fontId="11" fillId="0" borderId="8" xfId="0" applyFont="1" applyBorder="1" applyAlignment="1" applyProtection="1">
      <alignment horizontal="center" vertical="center" wrapText="1"/>
      <protection locked="0"/>
    </xf>
    <xf numFmtId="7" fontId="11" fillId="0" borderId="9" xfId="0" applyFont="1" applyBorder="1" applyAlignment="1" applyProtection="1">
      <alignment horizontal="center" vertical="center" wrapText="1"/>
      <protection locked="0"/>
    </xf>
    <xf numFmtId="7" fontId="11" fillId="0" borderId="10" xfId="0" applyFont="1" applyBorder="1" applyAlignment="1" applyProtection="1">
      <alignment horizontal="center" vertical="center" wrapText="1"/>
      <protection locked="0"/>
    </xf>
    <xf numFmtId="7" fontId="11" fillId="0" borderId="39" xfId="0" applyFont="1" applyBorder="1" applyAlignment="1" applyProtection="1">
      <alignment horizontal="center" vertical="center" wrapText="1"/>
      <protection locked="0"/>
    </xf>
    <xf numFmtId="7" fontId="11" fillId="0" borderId="40" xfId="0" applyFont="1" applyBorder="1" applyAlignment="1" applyProtection="1">
      <alignment horizontal="center" vertical="center" wrapText="1"/>
      <protection locked="0"/>
    </xf>
    <xf numFmtId="7" fontId="11" fillId="0" borderId="27" xfId="0" applyFont="1" applyBorder="1" applyAlignment="1" applyProtection="1">
      <alignment horizontal="center" vertical="center" wrapText="1"/>
      <protection locked="0"/>
    </xf>
    <xf numFmtId="7" fontId="11" fillId="0" borderId="23" xfId="0" applyFont="1" applyBorder="1" applyAlignment="1" applyProtection="1">
      <alignment horizontal="center" vertical="center" wrapText="1"/>
      <protection locked="0"/>
    </xf>
    <xf numFmtId="7" fontId="11" fillId="0" borderId="11" xfId="0" applyFont="1" applyBorder="1" applyAlignment="1">
      <alignment horizontal="center" vertical="center" wrapText="1"/>
    </xf>
    <xf numFmtId="7" fontId="9" fillId="0" borderId="0" xfId="0" applyFont="1" applyAlignment="1">
      <alignment wrapText="1"/>
    </xf>
    <xf numFmtId="49" fontId="11" fillId="0" borderId="52" xfId="0" applyNumberFormat="1" applyFont="1" applyBorder="1" applyAlignment="1" applyProtection="1">
      <alignment horizontal="center" vertical="center" wrapText="1"/>
      <protection locked="0"/>
    </xf>
    <xf numFmtId="7" fontId="11" fillId="0" borderId="40" xfId="0" applyFont="1" applyBorder="1" applyAlignment="1">
      <alignment horizontal="center" vertical="center" wrapText="1"/>
    </xf>
    <xf numFmtId="7" fontId="13" fillId="0" borderId="24" xfId="0" applyFont="1" applyBorder="1" applyAlignment="1" applyProtection="1">
      <alignment wrapText="1"/>
      <protection locked="0"/>
    </xf>
    <xf numFmtId="7" fontId="9" fillId="0" borderId="0" xfId="0" applyFont="1" applyBorder="1" applyAlignment="1">
      <alignment wrapText="1"/>
    </xf>
    <xf numFmtId="7" fontId="9" fillId="0" borderId="0" xfId="0" applyFont="1" applyBorder="1" applyAlignment="1">
      <alignment horizontal="left" wrapText="1"/>
    </xf>
    <xf numFmtId="7" fontId="13" fillId="0" borderId="25" xfId="0" applyFont="1" applyBorder="1" applyAlignment="1">
      <alignment horizontal="left" wrapText="1"/>
    </xf>
    <xf numFmtId="7" fontId="13" fillId="0" borderId="40" xfId="0" applyFont="1" applyBorder="1" applyAlignment="1">
      <alignment horizontal="center" vertical="center" wrapText="1"/>
    </xf>
    <xf numFmtId="7" fontId="13" fillId="0" borderId="40" xfId="0" applyFont="1" applyBorder="1" applyAlignment="1" applyProtection="1">
      <alignment horizontal="center" vertical="center" wrapText="1"/>
      <protection locked="0"/>
    </xf>
    <xf numFmtId="7" fontId="9" fillId="0" borderId="0" xfId="0" applyFont="1" applyBorder="1" applyAlignment="1" applyProtection="1">
      <alignment horizontal="centerContinuous"/>
      <protection locked="0"/>
    </xf>
    <xf numFmtId="7" fontId="11" fillId="0" borderId="25" xfId="0" applyFont="1" applyBorder="1" applyAlignment="1">
      <alignment horizontal="left" wrapText="1"/>
    </xf>
    <xf numFmtId="7" fontId="9" fillId="0" borderId="0" xfId="0" applyFont="1" applyBorder="1" applyAlignment="1" applyProtection="1">
      <alignment horizontal="left" wrapText="1"/>
      <protection locked="0"/>
    </xf>
    <xf numFmtId="7" fontId="13" fillId="0" borderId="27" xfId="0" applyFont="1" applyBorder="1" applyAlignment="1">
      <alignment horizontal="center" vertical="center" wrapText="1"/>
    </xf>
    <xf numFmtId="7" fontId="15" fillId="0" borderId="0" xfId="0" applyFont="1" applyAlignment="1">
      <alignment horizontal="center" vertical="center" wrapText="1"/>
    </xf>
    <xf numFmtId="7" fontId="15" fillId="0" borderId="0" xfId="0" applyFont="1" applyBorder="1"/>
    <xf numFmtId="7" fontId="10" fillId="0" borderId="0" xfId="0" applyFont="1" applyBorder="1" applyAlignment="1">
      <alignment horizontal="centerContinuous"/>
    </xf>
    <xf numFmtId="7" fontId="9" fillId="0" borderId="0" xfId="0" applyFont="1" applyBorder="1" applyAlignment="1">
      <alignment horizontal="left"/>
    </xf>
    <xf numFmtId="7" fontId="9" fillId="0" borderId="0" xfId="0" applyFont="1" applyBorder="1" applyAlignment="1">
      <alignment horizontal="centerContinuous"/>
    </xf>
    <xf numFmtId="7" fontId="36" fillId="0" borderId="10" xfId="0" applyFont="1" applyBorder="1" applyAlignment="1" applyProtection="1">
      <alignment horizontal="center" vertical="center" wrapText="1"/>
      <protection locked="0"/>
    </xf>
    <xf numFmtId="7" fontId="36" fillId="0" borderId="3" xfId="0" applyFont="1" applyBorder="1" applyAlignment="1" applyProtection="1">
      <alignment horizontal="center" vertical="center" wrapText="1"/>
      <protection locked="0"/>
    </xf>
    <xf numFmtId="7" fontId="36" fillId="0" borderId="4" xfId="0" applyFont="1" applyBorder="1" applyAlignment="1" applyProtection="1">
      <alignment horizontal="center" vertical="center" wrapText="1"/>
      <protection locked="0"/>
    </xf>
    <xf numFmtId="0" fontId="40" fillId="0" borderId="12" xfId="0" applyNumberFormat="1" applyFont="1" applyBorder="1" applyAlignment="1">
      <alignment horizontal="left" wrapText="1"/>
    </xf>
    <xf numFmtId="0" fontId="40" fillId="0" borderId="23" xfId="0" applyNumberFormat="1" applyFont="1" applyBorder="1" applyAlignment="1" applyProtection="1">
      <alignment horizontal="left" wrapText="1"/>
      <protection locked="0"/>
    </xf>
    <xf numFmtId="0" fontId="40" fillId="0" borderId="16" xfId="0" applyNumberFormat="1" applyFont="1" applyBorder="1" applyAlignment="1" applyProtection="1">
      <alignment horizontal="left" wrapText="1"/>
      <protection locked="0"/>
    </xf>
    <xf numFmtId="0" fontId="40" fillId="0" borderId="24" xfId="0" applyNumberFormat="1" applyFont="1" applyBorder="1" applyAlignment="1" applyProtection="1">
      <alignment horizontal="left" wrapText="1"/>
      <protection locked="0"/>
    </xf>
    <xf numFmtId="0" fontId="45" fillId="0" borderId="25" xfId="0" applyNumberFormat="1" applyFont="1" applyBorder="1" applyAlignment="1">
      <alignment horizontal="left" wrapText="1"/>
    </xf>
    <xf numFmtId="0" fontId="40" fillId="0" borderId="26" xfId="0" applyNumberFormat="1" applyFont="1" applyBorder="1" applyAlignment="1" applyProtection="1">
      <alignment horizontal="left" wrapText="1"/>
      <protection locked="0"/>
    </xf>
    <xf numFmtId="0" fontId="40" fillId="0" borderId="25" xfId="0" applyNumberFormat="1" applyFont="1" applyBorder="1" applyAlignment="1">
      <alignment horizontal="left" wrapText="1"/>
    </xf>
    <xf numFmtId="0" fontId="40" fillId="0" borderId="27" xfId="0" applyNumberFormat="1" applyFont="1" applyBorder="1" applyAlignment="1">
      <alignment horizontal="left" wrapText="1"/>
    </xf>
  </cellXfs>
  <cellStyles count="2">
    <cellStyle name="Comma" xfId="1" builtinId="3"/>
    <cellStyle name="Normal" xfId="0" builtinId="0"/>
  </cellStyles>
  <dxfs count="38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Segoe UI"/>
        <family val="2"/>
        <scheme val="none"/>
      </font>
      <numFmt numFmtId="0" formatCode="General"/>
      <alignment horizontal="lef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border diagonalUp="0" diagonalDown="0">
        <left/>
        <right/>
        <top/>
        <bottom style="thin">
          <color theme="1"/>
        </bottom>
        <vertical/>
        <horizontal/>
      </border>
    </dxf>
    <dxf>
      <border outline="0"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0" indent="0" justifyLastLine="0" shrinkToFit="0" readingOrder="0"/>
      <protection locked="0" hidden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0" formatCode="@"/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fill>
        <patternFill patternType="none">
          <fgColor indexed="64"/>
          <bgColor indexed="65"/>
        </patternFill>
      </fill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general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left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theme="1"/>
        </left>
        <right style="thin">
          <color theme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general" vertical="bottom" textRotation="0" wrapText="1" indent="0" justifyLastLine="0" shrinkToFit="0" readingOrder="0"/>
      <protection locked="0" hidden="0"/>
    </dxf>
    <dxf>
      <border outline="0">
        <bottom style="thin">
          <color indexed="8"/>
        </bottom>
      </border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3"/>
        <color indexed="8"/>
        <name val="Calibri Light"/>
        <family val="2"/>
        <scheme val="major"/>
      </font>
      <numFmt numFmtId="30" formatCode="@"/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left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  <alignment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textRotation="0" wrapText="1" indent="0" justifyLastLine="0" shrinkToFit="0" readingOrder="0"/>
      <protection locked="0" hidden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border outline="0"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border outline="0"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textRotation="0" wrapText="1" indent="0" justifyLastLine="0" shrinkToFit="0" readingOrder="0"/>
      <protection locked="0" hidden="0"/>
    </dxf>
    <dxf>
      <border outline="0">
        <bottom style="thin">
          <color theme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alignment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center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alignment horizontal="left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Segoe UI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numFmt numFmtId="3" formatCode="#,##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protection locked="0" hidden="0"/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 Light"/>
        <family val="2"/>
        <scheme val="maj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Segoe UI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Segoe U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Segoe UI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Segoe UI"/>
        <family val="2"/>
        <scheme val="none"/>
      </font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30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0</xdr:row>
          <xdr:rowOff>19050</xdr:rowOff>
        </xdr:from>
        <xdr:to>
          <xdr:col>0</xdr:col>
          <xdr:colOff>50800</xdr:colOff>
          <xdr:row>0</xdr:row>
          <xdr:rowOff>19050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31750</xdr:colOff>
          <xdr:row>0</xdr:row>
          <xdr:rowOff>19050</xdr:rowOff>
        </xdr:from>
        <xdr:to>
          <xdr:col>0</xdr:col>
          <xdr:colOff>57150</xdr:colOff>
          <xdr:row>0</xdr:row>
          <xdr:rowOff>38100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A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31750</xdr:colOff>
          <xdr:row>0</xdr:row>
          <xdr:rowOff>12700</xdr:rowOff>
        </xdr:from>
        <xdr:to>
          <xdr:col>0</xdr:col>
          <xdr:colOff>38100</xdr:colOff>
          <xdr:row>0</xdr:row>
          <xdr:rowOff>12700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B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31750</xdr:colOff>
          <xdr:row>0</xdr:row>
          <xdr:rowOff>19050</xdr:rowOff>
        </xdr:from>
        <xdr:to>
          <xdr:col>0</xdr:col>
          <xdr:colOff>107950</xdr:colOff>
          <xdr:row>0</xdr:row>
          <xdr:rowOff>31750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C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88900</xdr:rowOff>
        </xdr:from>
        <xdr:to>
          <xdr:col>0</xdr:col>
          <xdr:colOff>107950</xdr:colOff>
          <xdr:row>0</xdr:row>
          <xdr:rowOff>114300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C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50800</xdr:colOff>
          <xdr:row>0</xdr:row>
          <xdr:rowOff>19050</xdr:rowOff>
        </xdr:from>
        <xdr:to>
          <xdr:col>0</xdr:col>
          <xdr:colOff>57150</xdr:colOff>
          <xdr:row>0</xdr:row>
          <xdr:rowOff>38100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D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31750</xdr:colOff>
          <xdr:row>0</xdr:row>
          <xdr:rowOff>12700</xdr:rowOff>
        </xdr:from>
        <xdr:to>
          <xdr:col>0</xdr:col>
          <xdr:colOff>50800</xdr:colOff>
          <xdr:row>0</xdr:row>
          <xdr:rowOff>19050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E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0</xdr:row>
          <xdr:rowOff>19050</xdr:rowOff>
        </xdr:from>
        <xdr:to>
          <xdr:col>0</xdr:col>
          <xdr:colOff>19050</xdr:colOff>
          <xdr:row>0</xdr:row>
          <xdr:rowOff>19050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F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19050</xdr:rowOff>
        </xdr:from>
        <xdr:to>
          <xdr:col>0</xdr:col>
          <xdr:colOff>76200</xdr:colOff>
          <xdr:row>0</xdr:row>
          <xdr:rowOff>19050</xdr:rowOff>
        </xdr:to>
        <xdr:sp macro="" textlink="">
          <xdr:nvSpPr>
            <xdr:cNvPr id="17409" name="Button 1" hidden="1">
              <a:extLst>
                <a:ext uri="{63B3BB69-23CF-44E3-9099-C40C66FF867C}">
                  <a14:compatExt spid="_x0000_s17409"/>
                </a:ext>
                <a:ext uri="{FF2B5EF4-FFF2-40B4-BE49-F238E27FC236}">
                  <a16:creationId xmlns:a16="http://schemas.microsoft.com/office/drawing/2014/main" id="{00000000-0008-0000-1000-000001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12700</xdr:rowOff>
        </xdr:from>
        <xdr:to>
          <xdr:col>0</xdr:col>
          <xdr:colOff>50800</xdr:colOff>
          <xdr:row>0</xdr:row>
          <xdr:rowOff>19050</xdr:rowOff>
        </xdr:to>
        <xdr:sp macro="" textlink="">
          <xdr:nvSpPr>
            <xdr:cNvPr id="18433" name="Butto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1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31750</xdr:colOff>
          <xdr:row>0</xdr:row>
          <xdr:rowOff>12700</xdr:rowOff>
        </xdr:from>
        <xdr:to>
          <xdr:col>0</xdr:col>
          <xdr:colOff>50800</xdr:colOff>
          <xdr:row>0</xdr:row>
          <xdr:rowOff>19050</xdr:rowOff>
        </xdr:to>
        <xdr:sp macro="" textlink="">
          <xdr:nvSpPr>
            <xdr:cNvPr id="19457" name="Butto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12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1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69850</xdr:colOff>
          <xdr:row>0</xdr:row>
          <xdr:rowOff>19050</xdr:rowOff>
        </xdr:from>
        <xdr:to>
          <xdr:col>0</xdr:col>
          <xdr:colOff>95250</xdr:colOff>
          <xdr:row>0</xdr:row>
          <xdr:rowOff>38100</xdr:rowOff>
        </xdr:to>
        <xdr:sp macro="" textlink="">
          <xdr:nvSpPr>
            <xdr:cNvPr id="20481" name="Butto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13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12700</xdr:rowOff>
        </xdr:from>
        <xdr:to>
          <xdr:col>0</xdr:col>
          <xdr:colOff>38100</xdr:colOff>
          <xdr:row>0</xdr:row>
          <xdr:rowOff>19050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2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95250</xdr:colOff>
          <xdr:row>0</xdr:row>
          <xdr:rowOff>31750</xdr:rowOff>
        </xdr:from>
        <xdr:to>
          <xdr:col>0</xdr:col>
          <xdr:colOff>127000</xdr:colOff>
          <xdr:row>0</xdr:row>
          <xdr:rowOff>57150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14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2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19050</xdr:rowOff>
        </xdr:from>
        <xdr:to>
          <xdr:col>0</xdr:col>
          <xdr:colOff>88900</xdr:colOff>
          <xdr:row>0</xdr:row>
          <xdr:rowOff>38100</xdr:rowOff>
        </xdr:to>
        <xdr:sp macro="" textlink="">
          <xdr:nvSpPr>
            <xdr:cNvPr id="22529" name="Button 1" hidden="1">
              <a:extLst>
                <a:ext uri="{63B3BB69-23CF-44E3-9099-C40C66FF867C}">
                  <a14:compatExt spid="_x0000_s22529"/>
                </a:ext>
                <a:ext uri="{FF2B5EF4-FFF2-40B4-BE49-F238E27FC236}">
                  <a16:creationId xmlns:a16="http://schemas.microsoft.com/office/drawing/2014/main" id="{00000000-0008-0000-1500-0000015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2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19050</xdr:rowOff>
        </xdr:from>
        <xdr:to>
          <xdr:col>0</xdr:col>
          <xdr:colOff>38100</xdr:colOff>
          <xdr:row>0</xdr:row>
          <xdr:rowOff>19050</xdr:rowOff>
        </xdr:to>
        <xdr:sp macro="" textlink="">
          <xdr:nvSpPr>
            <xdr:cNvPr id="23553" name="Button 1" hidden="1">
              <a:extLst>
                <a:ext uri="{63B3BB69-23CF-44E3-9099-C40C66FF867C}">
                  <a14:compatExt spid="_x0000_s23553"/>
                </a:ext>
                <a:ext uri="{FF2B5EF4-FFF2-40B4-BE49-F238E27FC236}">
                  <a16:creationId xmlns:a16="http://schemas.microsoft.com/office/drawing/2014/main" id="{00000000-0008-0000-1600-0000015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2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38100</xdr:colOff>
          <xdr:row>0</xdr:row>
          <xdr:rowOff>19050</xdr:rowOff>
        </xdr:from>
        <xdr:to>
          <xdr:col>0</xdr:col>
          <xdr:colOff>50800</xdr:colOff>
          <xdr:row>0</xdr:row>
          <xdr:rowOff>38100</xdr:rowOff>
        </xdr:to>
        <xdr:sp macro="" textlink="">
          <xdr:nvSpPr>
            <xdr:cNvPr id="24577" name="Button 1" hidden="1">
              <a:extLst>
                <a:ext uri="{63B3BB69-23CF-44E3-9099-C40C66FF867C}">
                  <a14:compatExt spid="_x0000_s24577"/>
                </a:ext>
                <a:ext uri="{FF2B5EF4-FFF2-40B4-BE49-F238E27FC236}">
                  <a16:creationId xmlns:a16="http://schemas.microsoft.com/office/drawing/2014/main" id="{00000000-0008-0000-1700-000001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2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0</xdr:row>
          <xdr:rowOff>19050</xdr:rowOff>
        </xdr:from>
        <xdr:to>
          <xdr:col>0</xdr:col>
          <xdr:colOff>19050</xdr:colOff>
          <xdr:row>0</xdr:row>
          <xdr:rowOff>19050</xdr:rowOff>
        </xdr:to>
        <xdr:sp macro="" textlink="">
          <xdr:nvSpPr>
            <xdr:cNvPr id="26625" name="Button 1" hidden="1">
              <a:extLst>
                <a:ext uri="{63B3BB69-23CF-44E3-9099-C40C66FF867C}">
                  <a14:compatExt spid="_x0000_s26625"/>
                </a:ext>
                <a:ext uri="{FF2B5EF4-FFF2-40B4-BE49-F238E27FC236}">
                  <a16:creationId xmlns:a16="http://schemas.microsoft.com/office/drawing/2014/main" id="{00000000-0008-0000-1900-000001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0</xdr:row>
          <xdr:rowOff>19050</xdr:rowOff>
        </xdr:from>
        <xdr:to>
          <xdr:col>0</xdr:col>
          <xdr:colOff>19050</xdr:colOff>
          <xdr:row>0</xdr:row>
          <xdr:rowOff>19050</xdr:rowOff>
        </xdr:to>
        <xdr:sp macro="" textlink="">
          <xdr:nvSpPr>
            <xdr:cNvPr id="26626" name="Button 2" hidden="1">
              <a:extLst>
                <a:ext uri="{63B3BB69-23CF-44E3-9099-C40C66FF867C}">
                  <a14:compatExt spid="_x0000_s26626"/>
                </a:ext>
                <a:ext uri="{FF2B5EF4-FFF2-40B4-BE49-F238E27FC236}">
                  <a16:creationId xmlns:a16="http://schemas.microsoft.com/office/drawing/2014/main" id="{00000000-0008-0000-1900-000002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Print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2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0</xdr:row>
          <xdr:rowOff>12700</xdr:rowOff>
        </xdr:from>
        <xdr:to>
          <xdr:col>0</xdr:col>
          <xdr:colOff>19050</xdr:colOff>
          <xdr:row>0</xdr:row>
          <xdr:rowOff>19050</xdr:rowOff>
        </xdr:to>
        <xdr:sp macro="" textlink="">
          <xdr:nvSpPr>
            <xdr:cNvPr id="27649" name="Button 1" hidden="1">
              <a:extLst>
                <a:ext uri="{63B3BB69-23CF-44E3-9099-C40C66FF867C}">
                  <a14:compatExt spid="_x0000_s27649"/>
                </a:ext>
                <a:ext uri="{FF2B5EF4-FFF2-40B4-BE49-F238E27FC236}">
                  <a16:creationId xmlns:a16="http://schemas.microsoft.com/office/drawing/2014/main" id="{00000000-0008-0000-1A00-000001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0</xdr:row>
          <xdr:rowOff>19050</xdr:rowOff>
        </xdr:from>
        <xdr:to>
          <xdr:col>0</xdr:col>
          <xdr:colOff>19050</xdr:colOff>
          <xdr:row>0</xdr:row>
          <xdr:rowOff>31750</xdr:rowOff>
        </xdr:to>
        <xdr:sp macro="" textlink="">
          <xdr:nvSpPr>
            <xdr:cNvPr id="27650" name="Button 2" hidden="1">
              <a:extLst>
                <a:ext uri="{63B3BB69-23CF-44E3-9099-C40C66FF867C}">
                  <a14:compatExt spid="_x0000_s27650"/>
                </a:ext>
                <a:ext uri="{FF2B5EF4-FFF2-40B4-BE49-F238E27FC236}">
                  <a16:creationId xmlns:a16="http://schemas.microsoft.com/office/drawing/2014/main" id="{00000000-0008-0000-1A00-000002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Print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2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57150</xdr:colOff>
          <xdr:row>0</xdr:row>
          <xdr:rowOff>19050</xdr:rowOff>
        </xdr:from>
        <xdr:to>
          <xdr:col>0</xdr:col>
          <xdr:colOff>69850</xdr:colOff>
          <xdr:row>0</xdr:row>
          <xdr:rowOff>31750</xdr:rowOff>
        </xdr:to>
        <xdr:sp macro="" textlink="">
          <xdr:nvSpPr>
            <xdr:cNvPr id="28673" name="Button 1" hidden="1">
              <a:extLst>
                <a:ext uri="{63B3BB69-23CF-44E3-9099-C40C66FF867C}">
                  <a14:compatExt spid="_x0000_s28673"/>
                </a:ext>
                <a:ext uri="{FF2B5EF4-FFF2-40B4-BE49-F238E27FC236}">
                  <a16:creationId xmlns:a16="http://schemas.microsoft.com/office/drawing/2014/main" id="{00000000-0008-0000-1B00-0000017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50800</xdr:colOff>
          <xdr:row>0</xdr:row>
          <xdr:rowOff>12700</xdr:rowOff>
        </xdr:from>
        <xdr:to>
          <xdr:col>0</xdr:col>
          <xdr:colOff>57150</xdr:colOff>
          <xdr:row>0</xdr:row>
          <xdr:rowOff>19050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50800</xdr:colOff>
          <xdr:row>0</xdr:row>
          <xdr:rowOff>19050</xdr:rowOff>
        </xdr:from>
        <xdr:to>
          <xdr:col>0</xdr:col>
          <xdr:colOff>76200</xdr:colOff>
          <xdr:row>0</xdr:row>
          <xdr:rowOff>19050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50800</xdr:colOff>
          <xdr:row>0</xdr:row>
          <xdr:rowOff>19050</xdr:rowOff>
        </xdr:from>
        <xdr:to>
          <xdr:col>0</xdr:col>
          <xdr:colOff>57150</xdr:colOff>
          <xdr:row>0</xdr:row>
          <xdr:rowOff>19050</xdr:rowOff>
        </xdr:to>
        <xdr:sp macro="" textlink="">
          <xdr:nvSpPr>
            <xdr:cNvPr id="6145" name="Butto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50800</xdr:colOff>
          <xdr:row>0</xdr:row>
          <xdr:rowOff>19050</xdr:rowOff>
        </xdr:from>
        <xdr:to>
          <xdr:col>0</xdr:col>
          <xdr:colOff>69850</xdr:colOff>
          <xdr:row>0</xdr:row>
          <xdr:rowOff>19050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12700</xdr:rowOff>
        </xdr:from>
        <xdr:to>
          <xdr:col>0</xdr:col>
          <xdr:colOff>31750</xdr:colOff>
          <xdr:row>0</xdr:row>
          <xdr:rowOff>19050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12700</xdr:rowOff>
        </xdr:from>
        <xdr:to>
          <xdr:col>0</xdr:col>
          <xdr:colOff>31750</xdr:colOff>
          <xdr:row>0</xdr:row>
          <xdr:rowOff>19050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8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12700</xdr:colOff>
          <xdr:row>0</xdr:row>
          <xdr:rowOff>0</xdr:rowOff>
        </xdr:from>
        <xdr:to>
          <xdr:col>0</xdr:col>
          <xdr:colOff>19050</xdr:colOff>
          <xdr:row>0</xdr:row>
          <xdr:rowOff>12700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19050</xdr:colOff>
          <xdr:row>0</xdr:row>
          <xdr:rowOff>0</xdr:rowOff>
        </xdr:from>
        <xdr:to>
          <xdr:col>0</xdr:col>
          <xdr:colOff>38100</xdr:colOff>
          <xdr:row>0</xdr:row>
          <xdr:rowOff>12700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9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Times New Roman"/>
                  <a:cs typeface="Times New Roman"/>
                </a:rPr>
                <a:t>Create .pdf File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oimspp-my.sharepoint.com/personal/thawkins_usbr_gov/Documents/Desktop/508%202021/IRR%202023%20Sch%20A-13%20F.Z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TION"/>
      <sheetName val="Flow Chart"/>
      <sheetName val="MANUAL_INPUT"/>
      <sheetName val="Differences"/>
      <sheetName val="Page_1"/>
      <sheetName val="Page_2"/>
      <sheetName val="Page_3"/>
      <sheetName val="Page_4"/>
      <sheetName val="Page_5"/>
      <sheetName val="Page_6"/>
      <sheetName val="Page_7"/>
      <sheetName val="Page_8"/>
      <sheetName val="Page_9"/>
      <sheetName val="Page_10"/>
      <sheetName val="Page_11"/>
      <sheetName val="Page_12"/>
      <sheetName val="Page_13"/>
      <sheetName val="Page_14"/>
      <sheetName val="Page_15"/>
      <sheetName val="Page_16"/>
      <sheetName val="Page_17"/>
      <sheetName val="Page_18"/>
      <sheetName val="Page_19"/>
      <sheetName val="Page_20"/>
      <sheetName val="Page_21"/>
      <sheetName val="Page_22"/>
      <sheetName val="Page_23"/>
      <sheetName val="Page_24"/>
      <sheetName val="Page_25"/>
      <sheetName val="Page_26"/>
      <sheetName val="Page_27"/>
      <sheetName val="Page_28"/>
      <sheetName val="Summary"/>
      <sheetName val="ActualDeliver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89">
          <cell r="E89">
            <v>28230</v>
          </cell>
        </row>
        <row r="90">
          <cell r="E90">
            <v>3833</v>
          </cell>
        </row>
        <row r="91">
          <cell r="E91">
            <v>187</v>
          </cell>
        </row>
        <row r="92">
          <cell r="E92">
            <v>270</v>
          </cell>
        </row>
        <row r="93">
          <cell r="E93">
            <v>297</v>
          </cell>
        </row>
        <row r="94">
          <cell r="E94">
            <v>2800</v>
          </cell>
        </row>
        <row r="95">
          <cell r="E95">
            <v>0</v>
          </cell>
        </row>
        <row r="96">
          <cell r="E96">
            <v>169</v>
          </cell>
        </row>
        <row r="97">
          <cell r="E97">
            <v>9103</v>
          </cell>
        </row>
        <row r="98">
          <cell r="E98">
            <v>10541</v>
          </cell>
        </row>
        <row r="99">
          <cell r="E99">
            <v>13875</v>
          </cell>
        </row>
        <row r="100">
          <cell r="E100">
            <v>9864</v>
          </cell>
        </row>
        <row r="101">
          <cell r="E101">
            <v>2981</v>
          </cell>
        </row>
        <row r="102">
          <cell r="E102">
            <v>886</v>
          </cell>
        </row>
        <row r="103">
          <cell r="E103">
            <v>16156</v>
          </cell>
        </row>
        <row r="104">
          <cell r="E104">
            <v>38185</v>
          </cell>
        </row>
        <row r="105">
          <cell r="E105">
            <v>1695</v>
          </cell>
        </row>
        <row r="106">
          <cell r="E106">
            <v>3303</v>
          </cell>
        </row>
        <row r="107">
          <cell r="E107">
            <v>5642</v>
          </cell>
        </row>
        <row r="108">
          <cell r="E108">
            <v>106</v>
          </cell>
        </row>
        <row r="109">
          <cell r="E109">
            <v>7809</v>
          </cell>
        </row>
        <row r="115">
          <cell r="E115">
            <v>0</v>
          </cell>
        </row>
        <row r="116">
          <cell r="E116">
            <v>0</v>
          </cell>
        </row>
        <row r="117">
          <cell r="E117">
            <v>0</v>
          </cell>
        </row>
        <row r="118">
          <cell r="E118">
            <v>0</v>
          </cell>
        </row>
        <row r="120">
          <cell r="E120">
            <v>0</v>
          </cell>
        </row>
        <row r="121">
          <cell r="E121">
            <v>0</v>
          </cell>
        </row>
        <row r="122">
          <cell r="E122">
            <v>0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3352</v>
          </cell>
        </row>
        <row r="127">
          <cell r="E127">
            <v>0</v>
          </cell>
        </row>
        <row r="132">
          <cell r="E132">
            <v>24000</v>
          </cell>
        </row>
        <row r="136">
          <cell r="E136">
            <v>10398</v>
          </cell>
        </row>
        <row r="137">
          <cell r="E137">
            <v>21876</v>
          </cell>
        </row>
        <row r="142">
          <cell r="E142">
            <v>0</v>
          </cell>
        </row>
        <row r="143">
          <cell r="E143">
            <v>0</v>
          </cell>
        </row>
        <row r="148">
          <cell r="E148">
            <v>31147</v>
          </cell>
        </row>
        <row r="149">
          <cell r="E149">
            <v>14762</v>
          </cell>
        </row>
        <row r="154">
          <cell r="E154">
            <v>2503</v>
          </cell>
        </row>
        <row r="155">
          <cell r="E155">
            <v>0</v>
          </cell>
        </row>
        <row r="156">
          <cell r="E156">
            <v>0</v>
          </cell>
        </row>
        <row r="157">
          <cell r="E157">
            <v>4</v>
          </cell>
        </row>
        <row r="158">
          <cell r="E158">
            <v>259</v>
          </cell>
        </row>
        <row r="159">
          <cell r="E159">
            <v>0</v>
          </cell>
        </row>
        <row r="268">
          <cell r="E268">
            <v>9379</v>
          </cell>
        </row>
        <row r="269">
          <cell r="E269">
            <v>6620</v>
          </cell>
        </row>
        <row r="274">
          <cell r="E274">
            <v>132269</v>
          </cell>
        </row>
        <row r="275">
          <cell r="E275">
            <v>326</v>
          </cell>
        </row>
        <row r="280">
          <cell r="E280">
            <v>754</v>
          </cell>
        </row>
        <row r="281">
          <cell r="E281">
            <v>7343</v>
          </cell>
        </row>
        <row r="282">
          <cell r="E282">
            <v>12996</v>
          </cell>
        </row>
        <row r="296">
          <cell r="E296">
            <v>0</v>
          </cell>
        </row>
        <row r="297">
          <cell r="E297">
            <v>427</v>
          </cell>
        </row>
        <row r="298">
          <cell r="E298">
            <v>76</v>
          </cell>
        </row>
        <row r="299">
          <cell r="E299">
            <v>9558</v>
          </cell>
        </row>
        <row r="300">
          <cell r="E300">
            <v>17705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C742A0C-6215-4DE7-B372-4C9058CFB105}" name="Table18" displayName="Table18" ref="A6:B30" totalsRowShown="0" headerRowDxfId="384" dataDxfId="383">
  <tableColumns count="2">
    <tableColumn id="1" xr3:uid="{415059DA-34BC-4582-944C-91289A7F68C7}" name="Page" dataDxfId="382"/>
    <tableColumn id="2" xr3:uid="{8322D92F-727B-4B25-A89B-C47A0D0E0543}" name="Facilities" dataDxfId="381"/>
  </tableColumns>
  <tableStyleInfo name="TableStyleLight15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E6816014-4DEF-4080-99D0-4AD61FECE1F9}" name="Table27" displayName="Table27" ref="A6:J59" totalsRowShown="0" headerRowDxfId="0" dataDxfId="291">
  <tableColumns count="10">
    <tableColumn id="1" xr3:uid="{E4E4B82B-22FC-4A7C-86C1-98C878750B1B}" name="_x000a_Year" dataDxfId="290"/>
    <tableColumn id="2" xr3:uid="{61C73B84-D40D-4D47-A6DF-A44F0019573A}" name="Friant-Kern Canal - Kern Tulare WD 1/ Class 2" dataDxfId="289"/>
    <tableColumn id="3" xr3:uid="{B5440B3C-A17B-4F08-85CC-2137D460F8E3}" name="Friant-Kern Canal - Lewis Creek WD 1/ Class 1" dataDxfId="288"/>
    <tableColumn id="4" xr3:uid="{EE1E3628-1827-4107-B8C7-9EAEA1F801A2}" name="Friant-Kern Canal - Lindmore ID Class 1" dataDxfId="287"/>
    <tableColumn id="5" xr3:uid="{B41F979D-C26C-4120-84CD-828E866D8A4A}" name="Friant-Kern Canal - Lindmore ID Class 2" dataDxfId="286"/>
    <tableColumn id="6" xr3:uid="{4AF9BF24-B6C9-4FF9-92BC-A372AB8D8872}" name="Friant-Kern Canal - Lindmore ID Total" dataDxfId="285">
      <calculatedColumnFormula>SUM(D7:E7)</calculatedColumnFormula>
    </tableColumn>
    <tableColumn id="8" xr3:uid="{ED9BE883-AA53-40E7-989A-DD78DF3C6119}" name="Friant-Kern Canal - Lindsay-Strathmore ID Class 1" dataDxfId="284"/>
    <tableColumn id="10" xr3:uid="{D6A423E6-AD9D-4F85-9638-851F78476C16}" name="Friant-Kern Canal - Lower Tule River ID - FKC Class 1" dataDxfId="283"/>
    <tableColumn id="12" xr3:uid="{55BCB77F-6395-4910-ACC6-058DB1723E58}" name="Friant-Kern Canal - Lower Tule River ID - FKC Class 2" dataDxfId="282"/>
    <tableColumn id="14" xr3:uid="{4571820E-35CC-4765-B269-C8FB4D1710EA}" name="Friant-Kern Canal - Lower Tule River ID - FKC Total" dataDxfId="281">
      <calculatedColumnFormula>SUM(H7:I7)</calculatedColumnFormula>
    </tableColumn>
  </tableColumns>
  <tableStyleInfo name="TableStyleLight15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074E0205-32E2-4861-A5FB-B27BE8F13C1B}" name="Table28" displayName="Table28" ref="A6:H59" totalsRowShown="0" headerRowDxfId="280" dataDxfId="278" headerRowBorderDxfId="279">
  <tableColumns count="8">
    <tableColumn id="1" xr3:uid="{D838244C-0D30-4CFA-9A37-22923043A4CE}" name="_x000a_YEAR" dataDxfId="277"/>
    <tableColumn id="2" xr3:uid="{CE553C16-E23F-4462-89B7-EE20565C7DE3}" name="_x000a_FRIANT-KERN CANAL - ORANGE COVE ID _x000a_CLASS 1" dataDxfId="276"/>
    <tableColumn id="3" xr3:uid="{2186E812-47FB-415E-9103-332A66DCB52F}" name="_x000a_FRIANT-KERN CANAL - PORTERVILLE ID_x000a_ CLASS 1" dataDxfId="275"/>
    <tableColumn id="4" xr3:uid="{A04A1EB5-6583-4DAA-A55E-6CDC00DF072F}" name="_x000a_FRIANT-KERN CANAL - PORTERVILLE ID_x000a_CLASS 2" dataDxfId="274"/>
    <tableColumn id="5" xr3:uid="{032D2C61-30CB-463D-8F48-7DED952E0AC2}" name="_x000a_FRIANT-KERN CANAL - PORTERVILLE ID_x000a_ TOTAL" dataDxfId="273">
      <calculatedColumnFormula>SUM(C7:D7)</calculatedColumnFormula>
    </tableColumn>
    <tableColumn id="6" xr3:uid="{6AAEA0C4-A73B-4F71-904E-7CBEC2F011C7}" name="_x000a_FRIANT-KERN CANAL - SAUCELITO ID_x000a_ CLASS 1" dataDxfId="272"/>
    <tableColumn id="7" xr3:uid="{3A8F115A-B567-48E2-A8AD-BB37BBCD431B}" name="_x000a_FRIANT-KERN CANAL - SAUCELITO ID_x000a_CLASS 2" dataDxfId="271"/>
    <tableColumn id="8" xr3:uid="{25315652-2124-4195-BA4B-0485A3CA7F00}" name="_x000a_FRIANT-KERN CANAL - SAUCELITO ID_x000a_ TOTAL" dataDxfId="270">
      <calculatedColumnFormula>SUM(F7:G7)</calculatedColumnFormula>
    </tableColumn>
  </tableColumns>
  <tableStyleInfo name="TableStyleLight15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1375CA74-9505-477E-8D41-676FA9A5D88B}" name="Table29" displayName="Table29" ref="A6:S63" totalsRowShown="0" headerRowDxfId="269" dataDxfId="268">
  <tableColumns count="19">
    <tableColumn id="1" xr3:uid="{4A14E341-F347-4948-9676-2D28EED5ECF6}" name="_x000a_YEAR" dataDxfId="267"/>
    <tableColumn id="2" xr3:uid="{D1580FCA-F4C4-4473-8A9C-516AF4FDFDB1}" name="_x000a_FRIANT-KERN CANAL - SHAFTER-WASCO _x000a_ID_x000a_ CLASS 1" dataDxfId="266"/>
    <tableColumn id="3" xr3:uid="{C9E3473E-4712-4301-8DA1-8F06D6CD16FD}" name="Column1" dataDxfId="265"/>
    <tableColumn id="4" xr3:uid="{0EA51D4F-31EE-453A-B6B1-1C7524D3D8C2}" name="_x000a_FRIANT-KERN CANAL - SHAFTER-WASCO_x000a_ ID_x000a_CLASS 2" dataDxfId="264"/>
    <tableColumn id="5" xr3:uid="{2112315C-E9F7-4311-B120-F030796E7CC9}" name="Column2" dataDxfId="263"/>
    <tableColumn id="6" xr3:uid="{088F8F4C-7C0E-4833-9977-6CC1886F8002}" name="_x000a_FRIANT-KERN CANAL - SHAFTER-WASCO _x000a_ID_x000a_TOTAL   " dataDxfId="262"/>
    <tableColumn id="7" xr3:uid="{179EF82C-D017-40A0-8CA4-2CB0C8F860DC}" name="Column3" dataDxfId="261"/>
    <tableColumn id="8" xr3:uid="{BD069456-A507-43A4-B2E8-3260101F906F}" name="_x000a_FRIANT-KERN CANAL - SO SAN JOAQUIN MUD   1/_x000a_CLASS 1  " dataDxfId="260"/>
    <tableColumn id="9" xr3:uid="{1D4E8C47-3FEB-45B3-8353-E3B1C99382AE}" name="Column4" dataDxfId="259"/>
    <tableColumn id="10" xr3:uid="{A3422BE7-79FA-4029-ADBB-AA83D9D72CBB}" name="_x000a_FRIANT-KERN CANAL - SO SAN JOAQUIN MUD   1/_x000a_CLASS 2" dataDxfId="258"/>
    <tableColumn id="11" xr3:uid="{A84C385E-AB59-46C4-83A2-2E1631E9CECB}" name="Column5" dataDxfId="257"/>
    <tableColumn id="12" xr3:uid="{7B95E744-4EFC-4F12-81F9-25E7CFFEE705}" name="_x000a_FRIANT-KERN CANAL - SO SAN JOAQUIN MUD   1/_x000a_TOTAL" dataDxfId="256">
      <calculatedColumnFormula>SUM(H7:J7)</calculatedColumnFormula>
    </tableColumn>
    <tableColumn id="13" xr3:uid="{7F1BA06A-351A-44CF-B9E2-D98B789D3701}" name="Column6" dataDxfId="255"/>
    <tableColumn id="14" xr3:uid="{7E5FC5F8-2B97-4B3E-AB74-866943A9697A}" name="Column7" dataDxfId="254"/>
    <tableColumn id="15" xr3:uid="{E7709026-2D57-451B-A46C-4F7D31D91E3E}" name="_x000a_FRIANT-KERN CANAL - STONE CORRAL_x000a_ ID_x000a_CLASS 1  " dataDxfId="253"/>
    <tableColumn id="16" xr3:uid="{DEE4DD84-9B29-482D-B8AA-3A4A789FFC50}" name="Column8" dataDxfId="252"/>
    <tableColumn id="17" xr3:uid="{A0715480-319C-4442-8135-6EF267F6FA22}" name="_x000a_FRIANT-KERN CANAL - TEA POT DOME WD_x000a_ CLASS 1  " dataDxfId="251"/>
    <tableColumn id="18" xr3:uid="{AF09A6D2-D966-450E-870D-282301D77880}" name="Column9" dataDxfId="250"/>
    <tableColumn id="19" xr3:uid="{83F7FBE4-AFB0-437E-B0E8-88D9E484BFF3}" name="_x000a_FRIANT-KERN CANAL - TERRA BELLA _x000a_ID_x000a_ CLASS 1  " dataDxfId="249"/>
  </tableColumns>
  <tableStyleInfo name="TableStyleLight15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CE16E1B-EBFD-469E-BBC8-8F7E45630373}" name="Table17" displayName="Table17" ref="A6:I59" totalsRowShown="0" headerRowDxfId="248" dataDxfId="247">
  <tableColumns count="9">
    <tableColumn id="1" xr3:uid="{4EF96C9A-A0ED-49BF-9D42-D0A1D296235A}" name="_x000a_YEAR" dataDxfId="246"/>
    <tableColumn id="2" xr3:uid="{DEFA5265-20E5-4015-A028-AB1B109CA3A1}" name="_x000a_FRIANT-KERN CANAL FRIANT (FKC) - TRI-VALLEY WD _x000a_CLASS 1" dataDxfId="245"/>
    <tableColumn id="3" xr3:uid="{510D8B2A-673E-49F7-B737-F24638D22DBD}" name="_x000a_FRIANT-KERN CANAL FRIANT (FKC) - TULARE ID_x000a_ CLASS 1" dataDxfId="244"/>
    <tableColumn id="4" xr3:uid="{E13B8FCA-02CF-4D92-86CF-2745F29A36CF}" name="_x000a_FRIANT-KERN CANAL FRIANT (FKC) - TULARE ID_x000a_CLASS 2" dataDxfId="243"/>
    <tableColumn id="5" xr3:uid="{2CAB341C-B0F8-41C6-88CA-027204B9C985}" name="_x000a_FRIANT-KERN CANAL FRIANT (FKC) - TULARE ID_x000a_TOTAL" dataDxfId="242">
      <calculatedColumnFormula>SUM(C7:D7)</calculatedColumnFormula>
    </tableColumn>
    <tableColumn id="6" xr3:uid="{445E99EC-722B-4488-B79D-3C994C3DB097}" name="_x000a_FRIANT-KERN CANAL FRIANT (FKC) - FKC _x000a_TOTAL_x000a_CLASS 1  " dataDxfId="241"/>
    <tableColumn id="7" xr3:uid="{4D03E4E0-AD32-49B6-9E55-3C2FEAD2D92A}" name="_x000a_FRIANT-KERN CANAL FRIANT (FKC) - FKC _x000a_TOTAL_x000a_CLASS 2  " dataDxfId="240"/>
    <tableColumn id="8" xr3:uid="{5F7D6646-4B9F-4F00-908E-B247CA1690AE}" name="_x000a_FRIANT-KERN CANAL FRIANT (FKC) - FKC _x000a_TOTAL" dataDxfId="239">
      <calculatedColumnFormula>SUM(F7:G7)</calculatedColumnFormula>
    </tableColumn>
    <tableColumn id="9" xr3:uid="{2AE45A7E-B437-4871-AE12-121E67278D9B}" name="_x000a_FRIANT-KERN CANAL FRIANT (FKC) - MADERA_x000a_ID -HU" dataDxfId="238"/>
  </tableColumns>
  <tableStyleInfo name="TableStyleLight15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D7679B05-583F-400D-B9CE-23469A3F2D56}" name="Table16" displayName="Table16" ref="A6:J59" totalsRowShown="0" headerRowDxfId="237" dataDxfId="235" headerRowBorderDxfId="236">
  <tableColumns count="10">
    <tableColumn id="1" xr3:uid="{7DA685DF-FA8C-4BB5-B307-0EF9C4519FDA}" name="_x000a_YEAR" dataDxfId="234"/>
    <tableColumn id="2" xr3:uid="{C55B2230-AAD6-4FD3-8A3A-746A674FA297}" name="_x000a_MADERA CANAL (MC) - CHOWCHILLA _x000a_WD - MC_x000a_ CLASS 1" dataDxfId="233"/>
    <tableColumn id="3" xr3:uid="{4FF49064-BC63-4723-A989-ABAEBF44F698}" name="_x000a_MADERA CANAL (MC) - CHOWCHILLA_x000a_ WD - MC_x000a_ CLASS 2" dataDxfId="232"/>
    <tableColumn id="4" xr3:uid="{659DD2E5-F5F8-41AA-B5E8-2AB82EB43F4F}" name="_x000a_MADERA CANAL (MC) - CHOWCHILLA _x000a_WD - MC_x000a_ TOTAL" dataDxfId="231"/>
    <tableColumn id="5" xr3:uid="{74E65918-E9A1-459A-8062-D0962CB6A86F}" name="_x000a_MADERA CANAL (MC) - MADERA_x000a_ ID - MC _x000a_CLASS 1  " dataDxfId="230"/>
    <tableColumn id="6" xr3:uid="{F9E2EBE8-21AF-4C69-A3B2-6E435ACC411F}" name="_x000a_MADERA CANAL (MC) - MADERA _x000a_ID - MC_x000a_ CLASS 2" dataDxfId="229"/>
    <tableColumn id="7" xr3:uid="{F145B693-A5A4-419C-B505-33FD62944C82}" name="_x000a_MADERA CANAL (MC) - MADERA _x000a_ID - MC TOTAL" dataDxfId="228">
      <calculatedColumnFormula>SUM(E7:F7)</calculatedColumnFormula>
    </tableColumn>
    <tableColumn id="8" xr3:uid="{D6255ED2-184D-4FBA-875C-3E8D4790CFDE}" name="_x000a_MADERA CANAL (MC) - MC TOTAL_x000a_ CLASS 1  " dataDxfId="227"/>
    <tableColumn id="9" xr3:uid="{0A8051D8-6A84-43A7-8BA2-0D999C16C07F}" name="_x000a_MADERA CANAL (MC) - MC TOTAL _x000a_CLASS 2" dataDxfId="226"/>
    <tableColumn id="10" xr3:uid="{CD884F55-0F80-418D-A21C-DA1147D3D661}" name="_x000a_MADERA CANAL (MC) - MC_x000a_TOTAL" dataDxfId="225">
      <calculatedColumnFormula>SUM(H7:I7)</calculatedColumnFormula>
    </tableColumn>
  </tableColumns>
  <tableStyleInfo name="TableStyleLight15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F6E2D11-0992-4D74-AC60-1A990E6A15AC}" name="Table15" displayName="Table15" ref="A6:K59" totalsRowShown="0" headerRowDxfId="224" dataDxfId="222" headerRowBorderDxfId="223">
  <tableColumns count="11">
    <tableColumn id="1" xr3:uid="{3D4EF96E-4286-4540-9479-33F2848ADEE2}" name="_x000a_YEAR" dataDxfId="221"/>
    <tableColumn id="2" xr3:uid="{29A41EE4-607A-4858-B210-75FB189291B7}" name="NEW MELONES D&amp;R - CENTRAL _x000a_SAN JOAQUIN WCD" dataDxfId="220"/>
    <tableColumn id="3" xr3:uid="{7546936F-739E-4A69-B18B-1006224EB707}" name="_x000a_NEW MELONES D&amp;R - STOCKTON- EAST_x000a_ WD" dataDxfId="219"/>
    <tableColumn id="4" xr3:uid="{D78E1508-9B14-4EAE-918A-D06F69DCAA89}" name="_x000a_NEW MELONES D&amp;R - TOTAL" dataDxfId="218">
      <calculatedColumnFormula>SUM(B7:C7)</calculatedColumnFormula>
    </tableColumn>
    <tableColumn id="5" xr3:uid="{CC38BC51-BDCB-4BF4-935F-D9AB199FE2A2}" name="SACRAMENTO RIVER - SHASTA - ANDERSON- COTTONWOOD ID" dataDxfId="217"/>
    <tableColumn id="6" xr3:uid="{B4254BD7-C84E-45E0-A476-4BF60537CCE7}" name="SACRAMENTO RIVER - SHASTA - DANIELL, _x000a_H &amp; B" dataDxfId="216"/>
    <tableColumn id="7" xr3:uid="{82CA2B22-D428-47FA-B816-3954DE7D37B4}" name="SACRAMENTO RIVER - SHASTA - DRISCOLL STRAWBERRY" dataDxfId="215"/>
    <tableColumn id="8" xr3:uid="{669A00E7-3B54-40EE-94A3-B1FE4B5D8E9F}" name="SACRAMENTO RIVER - SHASTA - GJERMANN, H" dataDxfId="214"/>
    <tableColumn id="9" xr3:uid="{8FC2B68D-5F80-4F77-BA61-DF72011FB2F2}" name="SACRAMENTO RIVER - SHASTA - LEVIATHAN INC" dataDxfId="213"/>
    <tableColumn id="10" xr3:uid="{1390D8E9-44F2-4AA8-B011-280CD8FAC585}" name="SACRAMENTO RIVER - SHASTA - REDDING RANCHERIA" dataDxfId="212"/>
    <tableColumn id="11" xr3:uid="{1BAB8E7B-0014-47BF-909B-8EAEAA074BB6}" name="SACRAMENTO RIVER - SHASTA - TOTAL" dataDxfId="211">
      <calculatedColumnFormula>SUM(E7:J7)</calculatedColumnFormula>
    </tableColumn>
  </tableColumns>
  <tableStyleInfo name="TableStyleLight15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3206A59-70F6-46FA-B399-D6CE44583E54}" name="Table14" displayName="Table14" ref="A6:CX59" totalsRowShown="0" headerRowDxfId="210" dataDxfId="209">
  <tableColumns count="102">
    <tableColumn id="1" xr3:uid="{4A3FFB2E-3436-4C82-A980-A7A43607EB92}" name="_x000a_YEAR" dataDxfId="208"/>
    <tableColumn id="2" xr3:uid="{1808C221-25B7-4A44-BFAB-0EAF51E85D9B}" name="_x000a_SACRAMENTO RIVER - WILLOWS - ANDERSON,_x000a_ A" dataDxfId="207"/>
    <tableColumn id="3" xr3:uid="{85A33184-456F-4C5E-9BA7-67FA205244BF}" name="_x000a_SACRAMENTO RIVER - WILLOWS - ANDERSON,_x000a_ R &amp; J" dataDxfId="206"/>
    <tableColumn id="4" xr3:uid="{9F406EB1-50FE-40C1-8BAB-E8703FE26FB0}" name="_x000a_SACRAMENTO RIVER - WILLOWS - ANDREOTTI, _x000a_A/ET AL" dataDxfId="205"/>
    <tableColumn id="5" xr3:uid="{2F5D6EB1-C23D-4D46-8E91-DD9827DA0E58}" name="_x000a_SACRAMENTO RIVER - WILLOWS - B &amp; D FAMILY PARTNERSHIP  *" dataDxfId="204"/>
    <tableColumn id="6" xr3:uid="{7B8D9B62-2FA4-4A93-9CDC-5E344428B18C}" name="_x000a_SACRAMENTO RIVER - WILLOWS - BABER,_x000a_J/ET AL" dataDxfId="203"/>
    <tableColumn id="7" xr3:uid="{665C24A6-A7B8-4DE5-84D4-B70C3F5D192D}" name="_x000a_SACRAMENTO RIVER - WILLOWS - BUTLER,   DIANE" dataDxfId="202"/>
    <tableColumn id="8" xr3:uid="{BAFDACB3-74B1-43D3-A4B2-9759DEA2CE94}" name="_x000a_SACRAMENTO RIVER - WILLOWS - BUTTE CREEK FARMS INC" dataDxfId="201"/>
    <tableColumn id="9" xr3:uid="{DE2CA836-C9BF-4FF2-B45B-ADC0ADED2D7A}" name="_x000a_SACRAMENTO RIVER - WILLOWS - BYRD,_x000a_A &amp; OSBORNE, J" dataDxfId="200"/>
    <tableColumn id="10" xr3:uid="{A18E1802-1781-4614-BE67-B0411C8C5719}" name="_x000a_SACRAMENTO RIVER - WILLOWS - CACHIL DEHE BAND OF WINTUN" dataDxfId="199"/>
    <tableColumn id="11" xr3:uid="{C3847FFA-893B-491F-B6AD-EE40941C4F20}" name="_x000a_SACRAMENTO RIVER - WILLOWS - CARTER_x000a_MWC" dataDxfId="198"/>
    <tableColumn id="12" xr3:uid="{FA97FCCB-7241-4903-ACD7-B9EFD0AB1189}" name="_x000a_SACRAMENTO RIVER - WILLOWS - CHARTER, M" dataDxfId="197"/>
    <tableColumn id="13" xr3:uid="{21FE2E03-305D-4DC8-A888-DB260DB2231A}" name="_x000a_SACRAMENTO RIVER - WILLOWS - CHURKIN, M JR &amp; C" dataDxfId="196"/>
    <tableColumn id="14" xr3:uid="{26EFEAAA-2A39-4BEF-A2B8-DFBE97230751}" name="_x000a_SACRAMENTO RIVER - WILLOWS - CONAWAY CONSV GRP" dataDxfId="195"/>
    <tableColumn id="15" xr3:uid="{3C5555CD-6702-481A-ABBC-4ACA096330CA}" name="_x000a_SACRAMENTO RIVER - WILLOWS - COUNTY OF SACRAMENTO" dataDxfId="194"/>
    <tableColumn id="16" xr3:uid="{BDB9ED98-DD07-4026-AB62-9FCA534CE6A3}" name="_x000a_SACRAMENTO RIVER - WILLOWS - CUMMINGS, W" dataDxfId="193"/>
    <tableColumn id="17" xr3:uid="{207AE4BE-81B6-40F0-84F4-CD1ECC5C1A36}" name="_x000a_SACRAMENTO RIVER - WILLOWS - DRIVER, GARY/ET AL" dataDxfId="192"/>
    <tableColumn id="18" xr3:uid="{1BEC6181-5E55-49B5-805F-5C3B73B636C3}" name="_x000a_SACRAMENTO RIVER - WILLOWS - DRIVER, _x000a_J &amp; C TRUSTEES" dataDxfId="191"/>
    <tableColumn id="19" xr3:uid="{338FC0A0-14E1-4B1D-B705-9265B2255D4B}" name="_x000a_SACRAMENTO RIVER - WILLOWS - DRIVER,_x000a_GREGORY  " dataDxfId="190"/>
    <tableColumn id="20" xr3:uid="{66626E77-2270-46E7-B672-7B91694C6880}" name="_x000a_SACRAMENTO RIVER - WILLOWS - DRIVER, W/ ET AL" dataDxfId="189"/>
    <tableColumn id="21" xr3:uid="{4E0ECA75-52D8-4DAB-8D01-641C3CCCB29D}" name="_x000a_SACRAMENTO RIVER - WILLOWS - DYER, J _x000a_&amp;_x000a_ WING, J" dataDxfId="188"/>
    <tableColumn id="22" xr3:uid="{AA582C8D-B5D9-4EDC-852F-52C4030FD069}" name="_x000a_SACRAMENTO RIVER - WILLOWS - EASTSIDE MWC" dataDxfId="187"/>
    <tableColumn id="23" xr3:uid="{8C9325F9-B144-4829-B5EB-100EF0815F1B}" name="_x000a_SACRAMENTO RIVER - WILLOWS - EHRKE A &amp; B" dataDxfId="186"/>
    <tableColumn id="24" xr3:uid="{C69078B1-9041-4E6E-98DB-13B58DAB2DEB}" name="_x000a_SACRAMENTO RIVER - WILLOWS - EMPIRE  GROUP,_x000a_ LLC" dataDxfId="185"/>
    <tableColumn id="25" xr3:uid="{5ADD1056-5437-4E88-8D11-653173D438CD}" name="_x000a_SACRAMENTO RIVER - WILLOWS - FEATHER WD" dataDxfId="184"/>
    <tableColumn id="26" xr3:uid="{ADF351DD-AD06-41A9-95D8-5E1F04C074C8}" name="_x000a_SACRAMENTO RIVER - WILLOWS - FEDORA, S/ TAYLOR, W" dataDxfId="183"/>
    <tableColumn id="27" xr3:uid="{6B7DDA6C-824D-4214-B24A-3F5AB7EE014E}" name="SACRAMENTO RIVER - WILLOWS - FOUR CORNERS FARMLAND" dataDxfId="182"/>
    <tableColumn id="28" xr3:uid="{9FB4428A-037D-49BA-AD75-B60ABE033BFC}" name="_x000a_SACRAMENTO RIVER - WILLOWS - GILLASPY, W" dataDxfId="181"/>
    <tableColumn id="29" xr3:uid="{0C8657A8-98A9-467B-8149-1D9BA850F514}" name="_x000a_SACRAMENTO RIVER - WILLOWS - GIUSTI, _x000a_R &amp; S" dataDxfId="180"/>
    <tableColumn id="30" xr3:uid="{AFA5386A-E0F0-43B9-9870-481247F25810}" name="_x000a_SACRAMENTO RIVER - WILLOWS - GLENN-COLUSA ID" dataDxfId="179"/>
    <tableColumn id="31" xr3:uid="{2A7AAD68-4850-43EA-BAAA-3D819EE68ED1}" name="_x000a_SACRAMENTO RIVER - WILLOWS - GREEN VALLEY_x000a_CORP " dataDxfId="178"/>
    <tableColumn id="32" xr3:uid="{A3D01B75-E8E3-4F4A-9D0D-DC6F30CD7AB5}" name="_x000a_SACRAMENTO RIVER - WILLOWS - GRIFFIN, J/_x000a_PRATER" dataDxfId="177"/>
    <tableColumn id="33" xr3:uid="{3831E193-A6AC-4535-9A92-534CC4173033}" name="_x000a_SACRAMENTO RIVER - WILLOWS - HALE, J/ MARKS, A" dataDxfId="176"/>
    <tableColumn id="34" xr3:uid="{93C072D0-1341-40C7-9F3B-B66271A0ECB1}" name="_x000a_SACRAMENTO RIVER - WILLOWS - HATFIELD,_x000a_ R &amp; B" dataDxfId="175"/>
    <tableColumn id="35" xr3:uid="{65FB0FC8-2CEA-4F28-BAF5-12C379F3C87E}" name="_x000a_SACRAMENTO RIVER - WILLOWS - HEIDRICK &amp; McGINNIS PROPERTIES_x000a_ASSIGNMENT *" dataDxfId="174"/>
    <tableColumn id="36" xr3:uid="{2568E9B7-FB36-44F4-B9D9-E08AE14A2422}" name="_x000a_SACRAMENTO RIVER - WILLOWS - HEIDRICK, M" dataDxfId="173"/>
    <tableColumn id="37" xr3:uid="{A74FA874-C19D-48E9-B0B5-673FEEC20E8A}" name="_x000a_SACRAMENTO RIVER - WILLOWS - HOWALD FARMS INC" dataDxfId="172"/>
    <tableColumn id="38" xr3:uid="{F7B2670A-C5F6-43C5-8875-FCD287E9A8C7}" name="_x000a_SACRAMENTO RIVER - WILLOWS - JAEGER,_x000a_W &amp; P" dataDxfId="171"/>
    <tableColumn id="39" xr3:uid="{D0279566-D35D-43CE-B8B2-B5D456847B13}" name="_x000a_SACRAMENTO RIVER - WILLOWS - JANSEN, _x000a_P &amp; S" dataDxfId="170"/>
    <tableColumn id="40" xr3:uid="{8966E2EA-175B-4C98-8BCA-A4A9AF87FC69}" name="_x000a_SACRAMENTO RIVER - WILLOWS - KARY, C" dataDxfId="169"/>
    <tableColumn id="41" xr3:uid="{29A120F7-BB0E-4225-8C0B-A2CA99DA9C23}" name="_x000a_SACRAMENTO RIVER - WILLOWS - KING, BEN" dataDxfId="168"/>
    <tableColumn id="42" xr3:uid="{040BCC04-4D69-4B6D-8F09-69F62162A30A}" name="_x000a_SACRAMENTO RIVER - WILLOWS - KING, L" dataDxfId="167"/>
    <tableColumn id="43" xr3:uid="{F2910A1B-4B03-4F86-9383-F640BBAFC025}" name="_x000a_SACRAMENTO RIVER - WILLOWS - KLSY, LLC" dataDxfId="166"/>
    <tableColumn id="44" xr3:uid="{C171ED5B-FD93-4BB0-A923-8940A326D38A}" name="_x000a_SACRAMENTO RIVER - WILLOWS - KNIGHTS LANDING INVESTORS" dataDxfId="165"/>
    <tableColumn id="45" xr3:uid="{4F6ADB1A-D1CD-4E4B-90CC-52B81569C4ED}" name="_x000a_SACRAMENTO RIVER - WILLOWS - KNIGHTS LANDING PROPERTIES * " dataDxfId="164"/>
    <tableColumn id="46" xr3:uid="{551145DA-21A1-4DED-A62E-4CEE2BC1B723}" name="SACRAMENTO RIVER - WILLOWS - L C DENNIS COMPANY" dataDxfId="163"/>
    <tableColumn id="47" xr3:uid="{94840899-35D8-4B37-89CF-3A6F98BE751D}" name="_x000a_SACRAMENTO RIVER - WILLOWS - LAUPPE ALAN, JOHNSON, J &amp; LAUPPE, W  *" dataDxfId="162"/>
    <tableColumn id="48" xr3:uid="{3CB9CF1D-6103-4477-A4C4-B50BE297C342}" name="_x000a_SACRAMENTO RIVER - WILLOWS - LAUPPE,_x000a_ B ET UX" dataDxfId="161"/>
    <tableColumn id="49" xr3:uid="{F9267E38-8C45-4EB8-B061-DC5195B5192B}" name="_x000a_SACRAMENTO RIVER - WILLOWS - LAUPPE  B _x000a_B &amp; K (ATP)" dataDxfId="160"/>
    <tableColumn id="50" xr3:uid="{79B5CF75-2FFA-4C76-BD80-4C9ED25A1A16}" name="_x000a_SACRAMENTO RIVER - WILLOWS - LEONARD, JAMES" dataDxfId="159"/>
    <tableColumn id="51" xr3:uid="{16D3438C-6DD7-4FB2-BD63-65E13B0CB2D2}" name="_x000a_SACRAMENTO RIVER - WILLOWS - LOCKETT, _x000a_W &amp; J" dataDxfId="158"/>
    <tableColumn id="52" xr3:uid="{B2287011-7C25-477B-B7AE-DCAB7F94145C}" name="_x000a_SACRAMENTO RIVER - WILLOWS - LOMO CS_x000a_ &amp;_x000a_ MICHELI, J" dataDxfId="157"/>
    <tableColumn id="53" xr3:uid="{0BF92178-25B2-4CB2-8AC7-75E8E112C13B}" name="_x000a_SACRAMENTO RIVER - WILLOWS - LONON, _x000a_M" dataDxfId="156"/>
    <tableColumn id="54" xr3:uid="{2F5AC27E-0668-4C05-A51C-85C48556C44D}" name="_x000a_SACRAMENTO RIVER - WILLOWS - M C M PROPERTIES" dataDxfId="155"/>
    <tableColumn id="55" xr3:uid="{CF0FF31D-0D4A-47A7-8E8E-B30EFA189F37}" name="_x000a_SACRAMENTO RIVER - WILLOWS - MAXWELL _x000a_ID" dataDxfId="154"/>
    <tableColumn id="56" xr3:uid="{2D41A5CD-B6EF-4968-9976-96CDB74FFA93}" name="_x000a_SACRAMENTO RIVER - WILLOWS - MCCLATCHY'_x000a_PARTNERS" dataDxfId="153"/>
    <tableColumn id="57" xr3:uid="{2CBB4F84-6FBB-4D97-914D-7947D678F414}" name="_x000a_SACRAMENTO RIVER - WILLOWS - MERIDIAN FARMS WC" dataDxfId="152"/>
    <tableColumn id="58" xr3:uid="{6FBDA0F4-4C52-457A-8DCE-3239146AC5C7}" name="_x000a_SACRAMENTO RIVER - WILLOWS - MICKE,_x000a_ D &amp; N" dataDxfId="151"/>
    <tableColumn id="59" xr3:uid="{E8BD3296-F5C4-4C92-96A3-6B6202E2ADD0}" name="_x000a_SACRAMENTO RIVER - WILLOWS - MOREHEAD, J/ ET UX" dataDxfId="150"/>
    <tableColumn id="60" xr3:uid="{0AF7EFEC-6428-44EA-9574-78D67053E8EF}" name="_x000a_SACRAMENTO RIVER - WILLOWS - MUNSON,_x000a_ J &amp; D" dataDxfId="149"/>
    <tableColumn id="61" xr3:uid="{5967B808-04D9-47F2-A52E-AB6694C6BF36}" name="_x000a_SACRAMENTO RIVER - WILLOWS - NATOMAS BASIN CONSERV" dataDxfId="148"/>
    <tableColumn id="62" xr3:uid="{C8563826-21EB-41B5-8374-5420ABF7EC0F}" name="_x000a_SACRAMENTO RIVER - WILLOWS - NATOMAS CENTRAL MWC" dataDxfId="147"/>
    <tableColumn id="63" xr3:uid="{91E93DE8-2361-47B4-82DE-D7B7470AAC40}" name="_x000a_SACRAMENTO RIVER - WILLOWS - NELSON, HENRY E" dataDxfId="146"/>
    <tableColumn id="64" xr3:uid="{DB07DC42-F1C4-491D-9B51-E5D1EE9AAF17}" name="_x000a_SACRAMENTO RIVER - WILLOWS - O'BRIEN, _x000a_J &amp; F" dataDxfId="145"/>
    <tableColumn id="65" xr3:uid="{0A046F8F-A741-4B3A-84E2-32CB28934F2D}" name="_x000a_SACRAMENTO RIVER - WILLOWS - ODYSSEUS FARMS PRTNRSHP" dataDxfId="144"/>
    <tableColumn id="66" xr3:uid="{A15E1622-45EC-4E8C-A106-AA4F3189E4E7}" name="_x000a_SACRAMENTO RIVER - WILLOWS - OJI BROS FARM INC." dataDxfId="143"/>
    <tableColumn id="67" xr3:uid="{426C128B-9857-4872-A253-3DFBE21B739E}" name="_x000a_SACRAMENTO RIVER - WILLOWS - OJI, _x000a_M/ET AL" dataDxfId="142"/>
    <tableColumn id="68" xr3:uid="{6CC2B831-6724-49D7-94B7-83A76B5C87E0}" name="_x000a_SACRAMENTO RIVER - WILLOWS - PACIFIC REALTY INC" dataDxfId="141"/>
    <tableColumn id="69" xr3:uid="{B9813FF4-21E2-42D0-AE2A-BF20DFDC066C}" name="_x000a_SACRAMENTO RIVER - WILLOWS - PELGER MWC" dataDxfId="140"/>
    <tableColumn id="70" xr3:uid="{5B570461-8262-4DA0-ADEA-F085EC1F157E}" name="SACRAMENTO RIVER - WILLOWS - _x000a_PELGER ROAD 1700, LLC " dataDxfId="139"/>
    <tableColumn id="71" xr3:uid="{C2B34066-FBF0-4ED1-B829-825064A76608}" name="_x000a_SACRAMENTO RIVER - WILLOWS - PENNER, _x000a_R &amp; L" dataDxfId="138"/>
    <tableColumn id="72" xr3:uid="{5D0DAB4E-898F-40AB-B377-87AB9DAF1022}" name="_x000a_SACRAMENTO RIVER - WILLOWS - PLEASANT GRV _x000a_VRNA MWC" dataDxfId="137"/>
    <tableColumn id="73" xr3:uid="{172DBFD2-21DB-4E8D-9855-CBF3859A3196}" name="_x000a_SACRAMENTO RIVER - WILLOWS - PRINCETON- _x000a_CODORA-_x000a_GLENN ID" dataDxfId="136"/>
    <tableColumn id="74" xr3:uid="{1903895E-B4CB-40D4-806A-F29B3DBD4397}" name="_x000a_SACRAMENTO RIVER - WILLOWS - PROVIDENT _x000a_ID" dataDxfId="135"/>
    <tableColumn id="75" xr3:uid="{08DEAF1D-E1AB-4B05-8559-9CA42A27C3A0}" name="_x000a_SACRAMENTO RIVER - WILLOWS - QUAD-H- RANCHES INC" dataDxfId="134"/>
    <tableColumn id="76" xr3:uid="{59CF5D4B-F303-40A2-BEEC-B4627472289E}" name="_x000a_SACRAMENTO RIVER - WILLOWS - RECL DIST _x000a_# 108" dataDxfId="133"/>
    <tableColumn id="77" xr3:uid="{7744C51D-BADA-493E-9634-BB2BBD3581DE}" name="_x000a_SACRAMENTO RIVER - WILLOWS - RECL DIST #1000" dataDxfId="132"/>
    <tableColumn id="78" xr3:uid="{95159BA0-FB71-4248-87FB-A5F3981C5048}" name="_x000a_SACRAMENTO RIVER - WILLOWS - RECL DIST #1004" dataDxfId="131"/>
    <tableColumn id="79" xr3:uid="{7161E6D4-6B90-49A6-841F-09EC60FFDBFC}" name="_x000a_SACRAMENTO RIVER - WILLOWS - REISCHE,_x000a_ E" dataDxfId="130"/>
    <tableColumn id="80" xr3:uid="{3C86F8DC-F239-4D60-9CD4-C4F27385DED2}" name="_x000a_SACRAMENTO RIVER - WILLOWS - SACRAMENTO RIVER - WILLOWS - REISCHE,_x000a_ L" dataDxfId="129"/>
    <tableColumn id="81" xr3:uid="{D159A069-510B-4F9A-9298-9B7C2D054250}" name="_x000a_SACRAMENTO RIVER - WILLOWS - RICHTER, H JR/ET AL" dataDxfId="128"/>
    <tableColumn id="82" xr3:uid="{1836DBF6-75EF-44FC-98E5-5D912DCAD976}" name="_x000a_SACRAMENTO RIVER - WILLOWS - RIVER GARDEN FARMS CO." dataDxfId="127"/>
    <tableColumn id="83" xr3:uid="{580ECCA7-363F-4C85-AE31-70C00655E088}" name="_x000a_SACRAMENTO RIVER - WILLOWS - ROBERTS DITCH _x000a_IRR CO" dataDxfId="126"/>
    <tableColumn id="84" xr3:uid="{C818F2FA-D2A8-4D4B-87D4-ED9843B563FD}" name="_x000a_SACRAMENTO RIVER - WILLOWS - RUBIO, _x000a_E &amp; E" dataDxfId="125"/>
    <tableColumn id="85" xr3:uid="{6C77A3D5-9104-494B-829A-6DB05B880D80}" name="_x000a_SACRAMENTO RIVER - WILLOWS - SAEED_x000a_ F  " dataDxfId="124"/>
    <tableColumn id="86" xr3:uid="{2B07D4DC-44F5-4463-817C-704D33CA4AB1}" name="_x000a_SACRAMENTO RIVER - WILLOWS - SEAVER, C" dataDxfId="123"/>
    <tableColumn id="87" xr3:uid="{DB44B074-A7DF-4041-8953-008E66932A59}" name="_x000a_SACRAMENTO RIVER - WILLOWS - SUTTER MWC" dataDxfId="122"/>
    <tableColumn id="88" xr3:uid="{49D421EB-FA73-4551-9464-59CF414CFA08}" name="_x000a_SACRAMENTO RIVER - WILLOWS - SWENSON FARMS " dataDxfId="121"/>
    <tableColumn id="89" xr3:uid="{C3CF6AFB-D321-4B5E-B172-8D05C3F132FC}" name="_x000a_SACRAMENTO RIVER - WILLOWS - SYCAMORE  MUTUAL WATER COMPANY  " dataDxfId="120"/>
    <tableColumn id="90" xr3:uid="{FC3F4DD5-C2BC-4583-ABB6-0CA923BF2507}" name="_x000a_SACRAMENTO RIVER - WILLOWS - T &amp; P FARMS" dataDxfId="119"/>
    <tableColumn id="91" xr3:uid="{BAFF0768-7EC2-460C-92A7-B3FD38F46259}" name="_x000a_SACRAMENTO RIVER - WILLOWS - TARKE, S" dataDxfId="118"/>
    <tableColumn id="92" xr3:uid="{095DDC42-1DF0-4732-A235-89DB787FFAE8}" name="_x000a_SACRAMENTO RIVER - WILLOWS - TISDALE IRR &amp; DRAIN CO" dataDxfId="117"/>
    <tableColumn id="93" xr3:uid="{F168A9D9-FAD7-4E1F-B096-575B628C9F3F}" name="_x000a_SACRAMENTO RIVER - WILLOWS - VAN  _x000a_RUITEN_x000a_ BROS. _x000a_1415L" dataDxfId="116"/>
    <tableColumn id="94" xr3:uid="{9AEB1C91-EE06-44CB-88C2-6344DE525EBE}" name="_x000a_SACRAMENTO RIVER - WILLOWS - VAN RUITEN BROS. 520XL" dataDxfId="115"/>
    <tableColumn id="95" xr3:uid="{97E9E415-ACCE-4D14-BF98-3FDD86990AD2}" name="_x000a_SACRAMENTO RIVER - WILLOWS - VAN RUITEN BROS. 0880S" dataDxfId="114"/>
    <tableColumn id="96" xr3:uid="{1107040A-7F50-482B-BE62-7FC851B14CF6}" name="_x000a_SACRAMENTO RIVER - WILLOWS - VAN RUITEN BROS. 880XR" dataDxfId="113"/>
    <tableColumn id="97" xr3:uid="{31C5103A-0E9F-45F4-B67B-CD9CCFD307CC}" name="_x000a_SACRAMENTO RIVER - WILLOWS - WALLACE _x000a_J &amp; J  " dataDxfId="112"/>
    <tableColumn id="98" xr3:uid="{38570E88-562D-4783-9429-6039B891CFC7}" name="_x000a_SACRAMENTO RIVER - WILLOWS - WALLACE, K TRUST  " dataDxfId="111"/>
    <tableColumn id="99" xr3:uid="{2E00374F-63D0-45C5-8D2F-7FBFC7DB9EA0}" name="_x000a_SACRAMENTO RIVER - WILLOWS - WISLER, J_x000a_" dataDxfId="110"/>
    <tableColumn id="100" xr3:uid="{CCF40DE5-B3A2-4B36-9BF3-B803D19A3FC4}" name="_x000a_SACRAMENTO RIVER - WILLOWS - YOCKEY, W" dataDxfId="109"/>
    <tableColumn id="101" xr3:uid="{A36C4F63-160E-4461-AC11-EDE9D9B52D23}" name="_x000a_SACRAMENTO RIVER - WILLOWS - YOUNG, TROY" dataDxfId="108"/>
    <tableColumn id="102" xr3:uid="{00814722-0F04-4EC3-9F44-68C139C98987}" name="_x000a_SACRAMENTO RIVER - WILLOWS - TOTAL" dataDxfId="107"/>
  </tableColumns>
  <tableStyleInfo name="TableStyleLight15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A73B1539-6958-467B-9BAB-1D304A4094C7}" name="Table13" displayName="Table13" ref="A6:H59" totalsRowShown="0" headerRowDxfId="106" dataDxfId="105">
  <tableColumns count="8">
    <tableColumn id="1" xr3:uid="{CE80B293-FC82-452E-9514-3F3C6C67BAC2}" name="_x000a_YEAR" dataDxfId="104"/>
    <tableColumn id="2" xr3:uid="{E9B89AB0-B228-4342-90B1-EFEB1BD886CD}" name="_x000a_SAN FELIPE UNIT - SAN BENITO _x000a_COUNTY WD" dataDxfId="103"/>
    <tableColumn id="3" xr3:uid="{DB5B1CE7-54FE-4009-96B8-52E0ADE07856}" name="_x000a_SAN FELIPE UNIT - SANTA CLARA_x000a_ VALLEY WD  1/" dataDxfId="102"/>
    <tableColumn id="4" xr3:uid="{3BE7649D-587A-4E9F-BE1E-18A77F7C547D}" name="_x000a_SAN FELIPE UNIT - TOTAL" dataDxfId="101"/>
    <tableColumn id="5" xr3:uid="{CFD20FDA-7BB7-462C-9E78-C560C21698AA}" name="_x000a_SAN LUIS CANAL-TRACY - PACHECO _x000a_WD" dataDxfId="100"/>
    <tableColumn id="6" xr3:uid="{072C3A1C-ECDD-4865-817E-DC06FA4D1155}" name="_x000a_SAN LUIS CANAL-TRACY -PANOCHE_x000a_ WD" dataDxfId="99"/>
    <tableColumn id="7" xr3:uid="{5CB6A20A-1A1C-4E56-9506-221DBC475556}" name="_x000a_SAN LUIS CANAL-TRACY - SAN LUIS_x000a_WD" dataDxfId="98"/>
    <tableColumn id="8" xr3:uid="{564E11E1-2935-4E79-B41F-EB4B2DD3079A}" name="_x000a_SAN LUIS CANAL-TRACY - TOTAL" dataDxfId="97">
      <calculatedColumnFormula>SUM(E7:G7)</calculatedColumnFormula>
    </tableColumn>
  </tableColumns>
  <tableStyleInfo name="TableStyleLight15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995E9846-4169-48D6-ABC9-21231D0B458B}" name="Table12" displayName="Table12" ref="A6:J63" totalsRowShown="0" headerRowDxfId="96" dataDxfId="95">
  <tableColumns count="10">
    <tableColumn id="1" xr3:uid="{0F7E4A76-88E6-474B-9A12-30796A027B67}" name="_x000a_YEAR" dataDxfId="94"/>
    <tableColumn id="2" xr3:uid="{0F688FE5-2C7F-4C2A-9970-0B826038F8BB}" name="_x000a_SAN LUIS CANAL -FRESNO - WESTLANDS_x000a_ WD-SLC 1" dataDxfId="93"/>
    <tableColumn id="3" xr3:uid="{918B7EE6-2075-46F1-AE3B-1FA0DBDA0E67}" name="_x000a_SAN LUIS CANAL -FRESNO - WESTLANDS _x000a_WD- DD#2 1/" dataDxfId="92"/>
    <tableColumn id="4" xr3:uid="{D429CC99-6075-4F5E-B41C-FD59E050BAC4}" name="_x000a_SAN LUIS CANAL -FRESNO - TOTAL" dataDxfId="91"/>
    <tableColumn id="5" xr3:uid="{0DC55192-E454-4897-B97E-216525C60B7E}" name="_x000a_TEHAMA-COLUSA CANAL - 4M _x000a_WD" dataDxfId="90"/>
    <tableColumn id="6" xr3:uid="{FB59DA30-BB0E-4168-AB50-DBE2FD0FA63B}" name="_x000a_TEHAMA-COLUSA CANAL - COLUSA COUNTY WD" dataDxfId="89"/>
    <tableColumn id="7" xr3:uid="{0F762647-E0D3-444D-8098-8193ED2C30F5}" name="_x000a_TEHAMA-COLUSA CANAL - CORTINA _x000a_WD" dataDxfId="88"/>
    <tableColumn id="8" xr3:uid="{C754138A-E6C6-46A1-81AC-FF57DB5E7EBE}" name="_x000a_TEHAMA-COLUSA CANAL - DAVIS _x000a_WD" dataDxfId="87"/>
    <tableColumn id="9" xr3:uid="{B37B97F8-6CA5-4551-8696-C88A7956FDC4}" name="_x000a_TEHAMA-COLUSA CANAL - DUNNIGAN WD" dataDxfId="86"/>
    <tableColumn id="10" xr3:uid="{AB50C6D0-254A-407D-B7FB-1508458AC0C2}" name="_x000a_TEHAMA-COLUSA CANAL - GLENN VALLEY WD" dataDxfId="85"/>
  </tableColumns>
  <tableStyleInfo name="TableStyleLight15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7D7EB4F-222C-44BD-9654-ECC2FBD7C7C9}" name="Table11" displayName="Table11" ref="A6:J59" totalsRowShown="0" headerRowDxfId="84">
  <tableColumns count="10">
    <tableColumn id="1" xr3:uid="{A249B29E-0227-4081-8EF1-7D720632D3CF}" name="_x000a_YEAR" dataDxfId="83"/>
    <tableColumn id="2" xr3:uid="{7372606D-E7D0-4618-808D-9216AC1C4704}" name="_x000a_TEHAMA-COLUSA CANAL GLIDE _x000a_WD"/>
    <tableColumn id="3" xr3:uid="{253B0A95-257F-4AA2-B2F2-9DE5B04787A2}" name="_x000a_TEHAMA-COLUSA CANAL - HOLTHOUSE _x000a_WD"/>
    <tableColumn id="4" xr3:uid="{3DA44B79-57EB-4CBA-BE35-CDA4ED20E720}" name="_x000a_TEHAMA-COLUSA CANAL - KANAWHA _x000a_WD_x000a_"/>
    <tableColumn id="5" xr3:uid="{E2D327CC-3098-4F3D-881C-9BCF1F019BCA}" name="_x000a_TEHAMA-COLUSA CANAL - KIRKWOOD_x000a_ WD"/>
    <tableColumn id="6" xr3:uid="{362A873C-82D6-4532-A913-0EF7CDC2FA53}" name="_x000a_TEHAMA-COLUSA CANAL - LA GRANDE_x000a_ WD_x000a_"/>
    <tableColumn id="7" xr3:uid="{3575091E-B652-4BB9-91F0-61B53FE724B2}" name="_x000a_TEHAMA-COLUSA CANAL - MYERS-MARSH _x000a_MWC_x000a_"/>
    <tableColumn id="8" xr3:uid="{F1EF7752-FA9F-43ED-A5B4-727EEABD86FC}" name="_x000a_TEHAMA-COLUSA CANAL - ORLAND-ARTOIS _x000a_WD_x000a_"/>
    <tableColumn id="9" xr3:uid="{ABD457B9-A5A4-4FBD-BC68-4BE5E59782CD}" name="_x000a_TEHAMA-COLUSA CANAL - WESTSIDE_x000a_WD_x000a_"/>
    <tableColumn id="10" xr3:uid="{536D6B48-5372-4107-A45C-931C8D621378}" name="_x000a_TEHAMA-COLUSA CANAL - TOTAL" dataDxfId="82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DB958EB3-A6C5-4C88-9ADD-76EAC7D5B5C7}" name="Table19" displayName="Table19" ref="A6:G59" totalsRowShown="0" headerRowDxfId="380" dataDxfId="378" headerRowBorderDxfId="379">
  <tableColumns count="7">
    <tableColumn id="1" xr3:uid="{47DFEC3D-02C6-4AA6-8B3D-5A41E9957EFE}" name="_x000a_YEAR" dataDxfId="377"/>
    <tableColumn id="2" xr3:uid="{494DC282-CBBA-41CC-9B7D-028DB331E309}" name="_x000a_BLACK BUTTE D&amp;R -  4-E WD" dataDxfId="376"/>
    <tableColumn id="3" xr3:uid="{B186DD05-4088-44EE-8C18-BFA18EA787EA}" name="BLACK BUTTE D&amp;R - _x000a_STONY CREEK WD" dataDxfId="375"/>
    <tableColumn id="4" xr3:uid="{0BC5D7F4-6E89-46BC-A3A0-D51DAF4C0E30}" name="BLACK BUTTE D&amp;R - _x000a_TOTAL" dataDxfId="374"/>
    <tableColumn id="5" xr3:uid="{4310CC52-41EF-4C43-8ADE-05F28A19432F}" name="_x000a_BUCHANAN UNIT - CHOWCHILLA _x000a_WD-BU" dataDxfId="373"/>
    <tableColumn id="6" xr3:uid="{EBDBE28D-20AB-4A90-87FE-83E057109FF3}" name="_x000a_CLEAR CREEK UNIT - CLEAR CREEK CSD" dataDxfId="372"/>
    <tableColumn id="7" xr3:uid="{53833459-2676-4055-870F-6C32A511EEE4}" name="COLUSA BASIN DRAIN - _x000a_COLUSA DRAIN MWC" dataDxfId="371"/>
  </tableColumns>
  <tableStyleInfo name="TableStyleLight15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E548D3C5-FB23-4DAF-96DD-D7246C9B70D6}" name="Table10" displayName="Table10" ref="A6:E59" totalsRowShown="0" headerRowDxfId="81" dataDxfId="79" headerRowBorderDxfId="80">
  <tableColumns count="5">
    <tableColumn id="1" xr3:uid="{87F6D97A-CF4F-457A-8ACB-AE78E158C45C}" name="YEAR" dataDxfId="78"/>
    <tableColumn id="2" xr3:uid="{399F8112-37A2-4DDB-9815-AD1A0113CC83}" name="DELTA-MENDOTA EXCHANGE WATER - CONTRACTORS" dataDxfId="77"/>
    <tableColumn id="3" xr3:uid="{B0532D98-EF41-4D16-8215-6D4B1D78A588}" name="DELTA-MENDOTA EXCHANGE WATER - ALL OTHERS" dataDxfId="76"/>
    <tableColumn id="4" xr3:uid="{39F6FC24-386D-4BDA-97A0-E6ACCFBDE01B}" name="DELTA-MENDOTA EXCHANGE WATER - TOTAL" dataDxfId="75"/>
    <tableColumn id="5" xr3:uid="{E0FBA623-B65B-4CCE-9FE9-E4554DCD8781}" name="DELTA-MENDOTA EXCHANGE WATER - IRRIGATION" dataDxfId="74"/>
  </tableColumns>
  <tableStyleInfo name="TableStyleLight15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BE2CD5F-24CB-4952-B8BF-2E49584261AE}" name="Table9" displayName="Table9" ref="A6:H59" totalsRowShown="0" headerRowDxfId="73" dataDxfId="72">
  <tableColumns count="8">
    <tableColumn id="1" xr3:uid="{F3126518-E7E0-43AC-8A8D-46B338D138A5}" name="_x000a_YEAR" dataDxfId="71"/>
    <tableColumn id="2" xr3:uid="{6D855534-ECC4-4C55-BDB1-365C7827A126}" name="_x000a_BLACK BUTTE_x000a_ D&amp;R" dataDxfId="70">
      <calculatedColumnFormula>Page_2!D7</calculatedColumnFormula>
    </tableColumn>
    <tableColumn id="3" xr3:uid="{0FC4B070-B241-47E0-BA18-42AA7C3F361A}" name="_x000a_BUCHANAN _x000a_UNIT" dataDxfId="69">
      <calculatedColumnFormula>Page_2!E7</calculatedColumnFormula>
    </tableColumn>
    <tableColumn id="4" xr3:uid="{3B624328-3F1C-4797-9613-CE9F2A233317}" name="_x000a_CLEAR CREEK _x000a_UNIT" dataDxfId="68">
      <calculatedColumnFormula>Page_2!F7</calculatedColumnFormula>
    </tableColumn>
    <tableColumn id="5" xr3:uid="{BE627771-9230-4978-8DA3-AE3A244EE1B9}" name="_x000a_COLUSA BASIN DRAIN_x000a_ DRAIN" dataDxfId="67">
      <calculatedColumnFormula>Page_2!G7</calculatedColumnFormula>
    </tableColumn>
    <tableColumn id="6" xr3:uid="{02AC9FE4-C464-4E8C-B702-C2853A3817E6}" name="_x000a_CORNING CANAL_x000a_ CANAL" dataDxfId="66">
      <calculatedColumnFormula>Page_3!E7</calculatedColumnFormula>
    </tableColumn>
    <tableColumn id="7" xr3:uid="{57BDFC4C-6F04-48B7-A9F8-D8E9D06A376F}" name="_x000a_COW CREEK UNIT" dataDxfId="65">
      <calculatedColumnFormula>Page_3!F7</calculatedColumnFormula>
    </tableColumn>
    <tableColumn id="8" xr3:uid="{F34DCB66-6850-4FD4-9C74-67D3F357B0A5}" name="_x000a_CROSS VALLEY CANAL" dataDxfId="64">
      <calculatedColumnFormula>Page_4!F7</calculatedColumnFormula>
    </tableColumn>
  </tableColumns>
  <tableStyleInfo name="TableStyleLight15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37CA02A-4563-4FF8-9443-57BA11315986}" name="Table8" displayName="Table8" ref="A6:H60" totalsRowShown="0" dataDxfId="63">
  <tableColumns count="8">
    <tableColumn id="1" xr3:uid="{9FFD03A8-3372-494D-9BE7-59D8AA7F2443}" name="_x000a_YEAR" dataDxfId="62"/>
    <tableColumn id="2" xr3:uid="{41F34F71-133D-4E7F-92C4-F0B180143F8F}" name="_x000a_DELTA-MENDOTA _x000a_CANAL" dataDxfId="61">
      <calculatedColumnFormula>Page_6!C6</calculatedColumnFormula>
    </tableColumn>
    <tableColumn id="3" xr3:uid="{91A779A8-B989-4B93-BBE2-93BBC6C410EB}" name="_x000a_DELTA-MENDOTA _x000a_POOL" dataDxfId="60">
      <calculatedColumnFormula>Page_7!D6</calculatedColumnFormula>
    </tableColumn>
    <tableColumn id="4" xr3:uid="{66E9746E-A0FA-4755-B6C3-C79FEF30E3E6}" name="_x000a_FRIANT_x000a_ DAM" dataDxfId="59">
      <calculatedColumnFormula>Page_7!E6</calculatedColumnFormula>
    </tableColumn>
    <tableColumn id="5" xr3:uid="{F1331EE3-A61D-4DDE-B3FC-E1CD2A6C30F6}" name="_x000a_FRIANT-KERN CANAL _x000a_CLASS 1" dataDxfId="58">
      <calculatedColumnFormula>Page_13!F6</calculatedColumnFormula>
    </tableColumn>
    <tableColumn id="6" xr3:uid="{A244B54B-EC55-4E15-8DEC-9CDC09004255}" name="_x000a_FRIANT-KERN CANAL_x000a_CLASS 2" dataDxfId="57">
      <calculatedColumnFormula>Page_13!G6</calculatedColumnFormula>
    </tableColumn>
    <tableColumn id="7" xr3:uid="{F954649D-C9BD-467F-9D3B-FBC3C81B4715}" name="_x000a_FRIANT-KERN CANAL _x000a_TOTAL" dataDxfId="56">
      <calculatedColumnFormula>SUM(E7:F7)</calculatedColumnFormula>
    </tableColumn>
    <tableColumn id="8" xr3:uid="{78B96DC8-81BE-45A0-8B00-25033FD013F8}" name="_x000a_HIDDEN UNIT" dataDxfId="55">
      <calculatedColumnFormula>Page_13!I6</calculatedColumnFormula>
    </tableColumn>
  </tableColumns>
  <tableStyleInfo name="TableStyleLight15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879246-C14A-4C4A-AB4A-A42103B505E5}" name="Table7" displayName="Table7" ref="A6:I59" totalsRowShown="0" headerRowDxfId="54" dataDxfId="53">
  <tableColumns count="9">
    <tableColumn id="1" xr3:uid="{490E5329-67CE-4D25-BE1F-D609AD13479E}" name="_x000a_YEAR" dataDxfId="52"/>
    <tableColumn id="2" xr3:uid="{3A1BDFBC-3407-43CF-B3EF-DC6046E1E765}" name="_x000a_MADERA CANAL_x000a_CLASS 1" dataDxfId="51">
      <calculatedColumnFormula>Page_14!H7</calculatedColumnFormula>
    </tableColumn>
    <tableColumn id="3" xr3:uid="{37D3C2EB-BD76-45D5-894A-B41ED02580DA}" name="_x000a_MADERA_x000a_CANAL _x000a_CLASS 2" dataDxfId="50">
      <calculatedColumnFormula>Page_14!I7</calculatedColumnFormula>
    </tableColumn>
    <tableColumn id="4" xr3:uid="{4039CFB1-2795-4C56-A68E-80A2E8C3D11E}" name="_x000a_MADERA CANAL_x000a_ TOTAL" dataDxfId="49">
      <calculatedColumnFormula>SUM(B7:C7)</calculatedColumnFormula>
    </tableColumn>
    <tableColumn id="5" xr3:uid="{C7897DCD-2CE9-4E8C-853A-4A153F89D7BA}" name="_x000a_NEW MELONES_x000a_D&amp;R" dataDxfId="48">
      <calculatedColumnFormula>Page_15!D7</calculatedColumnFormula>
    </tableColumn>
    <tableColumn id="6" xr3:uid="{1FECDCD9-C81C-4BBC-8574-67B0F02FE9B0}" name="_x000a_SACRAMENTO RIVER _x000a_SHASTA_x000a_" dataDxfId="47">
      <calculatedColumnFormula>Page_15!K7</calculatedColumnFormula>
    </tableColumn>
    <tableColumn id="7" xr3:uid="{CDFA5DDA-1E9C-4CBD-A185-3AE517CE692D}" name="_x000a_SACRAMENTO RIVER_x000a_WILLOWS_x000a_" dataDxfId="46">
      <calculatedColumnFormula>Page_16!CX7</calculatedColumnFormula>
    </tableColumn>
    <tableColumn id="8" xr3:uid="{CD99FB46-8E76-49E9-8AAC-9275EF57F0BA}" name="_x000a_SACRAMENTO RIVER_x000a_TOTAL_x000a_" dataDxfId="45">
      <calculatedColumnFormula>SUM(F7:G7)</calculatedColumnFormula>
    </tableColumn>
    <tableColumn id="9" xr3:uid="{0DE32907-C1DB-4F1E-8433-E89E31F69581}" name="_x000a_SAN FELIPE UNIT" dataDxfId="44">
      <calculatedColumnFormula>Page_17!D7</calculatedColumnFormula>
    </tableColumn>
  </tableColumns>
  <tableStyleInfo name="TableStyleLight15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8E47207-66D4-482D-B92C-FB7BCDD561C1}" name="Table6" displayName="Table6" ref="A6:H60" totalsRowShown="0" headerRowDxfId="43" dataDxfId="42">
  <tableColumns count="8">
    <tableColumn id="1" xr3:uid="{FD4F7B3E-FD30-4FBB-8677-3AF4231C2203}" name="_x000a_YEAR" dataDxfId="41"/>
    <tableColumn id="2" xr3:uid="{009BD129-689E-44CA-BADC-1A7955E00A3C}" name="_x000a_SAN LUIS CANAL_x000a_ TRACY" dataDxfId="40">
      <calculatedColumnFormula>Page_17!H6</calculatedColumnFormula>
    </tableColumn>
    <tableColumn id="3" xr3:uid="{5BABF669-FBD5-41E0-A7F0-ECA9BC948BBE}" name="_x000a_SAN LUIS CANAL_x000a_FRESNO" dataDxfId="39">
      <calculatedColumnFormula>Page_18!D10</calculatedColumnFormula>
    </tableColumn>
    <tableColumn id="4" xr3:uid="{E77304E7-F7AF-4F77-A59F-F1A1DBD69DFC}" name="_x000a_SAN LUIS CANAL_x000a_TOTAL" dataDxfId="38">
      <calculatedColumnFormula>SUM(B7:C7)</calculatedColumnFormula>
    </tableColumn>
    <tableColumn id="5" xr3:uid="{02841C65-B38F-4D0E-A573-4EFC65E9F877}" name="_x000a_TEHAMA-COLUSA _x000a_CANAL" dataDxfId="37"/>
    <tableColumn id="6" xr3:uid="{DFCA8603-B458-4C0A-968D-80ED913C7E0D}" name="_x000a_ASSIGNED WATER_x000a__x000a_ (Pg 33-35)" dataDxfId="36" dataCellStyle="Comma"/>
    <tableColumn id="7" xr3:uid="{EBDA4E52-711F-4B78-B308-2C54939137C9}" name="_x000a_TOTAL W/O _x000a_EXCHANGE" dataDxfId="35"/>
    <tableColumn id="8" xr3:uid="{4E1D1010-2848-45C3-9A20-B2C92FC08366}" name="_x000a_DELTA-MENDOTA _x000a_EXCHANGE WATER" dataDxfId="34">
      <calculatedColumnFormula>Page_20!E6</calculatedColumnFormula>
    </tableColumn>
  </tableColumns>
  <tableStyleInfo name="TableStyleLight15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1B4C8A8-05D0-49B8-A96D-1C7E31C513F4}" name="Table4" displayName="Table4" ref="A7:H62" totalsRowShown="0" headerRowDxfId="33" dataDxfId="31" headerRowBorderDxfId="32">
  <autoFilter ref="A7:H62" xr:uid="{31B4C8A8-05D0-49B8-A96D-1C7E31C513F4}"/>
  <tableColumns count="8">
    <tableColumn id="1" xr3:uid="{A749B2E5-CE61-404C-BF5D-D6520A9D3F45}" name="_x000a_YEAR" dataDxfId="30"/>
    <tableColumn id="2" xr3:uid="{2DCE2521-E2AC-425C-B091-5F35DE4274FC}" name="_x000a_BANTA-CARBONA ID (I)_x000a_ TO _x000a_CITY OF TRACY (M)_x000a_" dataDxfId="29"/>
    <tableColumn id="3" xr3:uid="{FFC282C2-0C87-49A4-814D-65E1364AF97A}" name="_x000a_BROADVIEW WD (I)_x000a_TO _x000a_WESTLANDS _x000a_WD-SLC (I)_x000a_" dataDxfId="28"/>
    <tableColumn id="4" xr3:uid="{B649D3EB-49B2-461B-9561-48EAB0496926}" name="_x000a_CENTINELLA WD (I)_x000a_TO _x000a_WESTLANDS _x000a_WD-SLC (I)_x000a_" dataDxfId="27"/>
    <tableColumn id="5" xr3:uid="{4E7477B0-27AC-4319-B246-8B86FC86252C}" name="_x000a_EXETER ID (I)_x000a_TO _x000a_TRI-VALLEY ID (I) _x000a_C1_x000a_" dataDxfId="26"/>
    <tableColumn id="6" xr3:uid="{1A2FDF10-756E-4DE1-AD6A-0BD27FA0960B}" name="_x000a_IVANHOE WD (I) _x000a_TO KAWEAH DELTA WCD (I) _x000a_CLASS 1_x000a_" dataDxfId="25"/>
    <tableColumn id="7" xr3:uid="{F16EA421-A99D-4F6D-A4C3-FA60CAB3F57C}" name="_x000a_IVANHOE WD (I) TO KAWEAH DELTA WCD (I) _x000a_CLASS 2_x000a_" dataDxfId="24"/>
    <tableColumn id="8" xr3:uid="{A2ED5592-7DF4-4E73-810E-8227BE12BA45}" name="_x000a_LEWIS CREEK WD (I) _x000a_TO _x000a_HILLS VALLEY ID (I) _x000a_C1_x000a_" dataDxfId="23"/>
  </tableColumns>
  <tableStyleInfo name="TableStyleLight15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4B03372-B4B4-42B1-AD5B-F95891AC64FF}" name="Table5" displayName="Table5" ref="A7:H58" totalsRowShown="0" headerRowDxfId="22" dataDxfId="21">
  <autoFilter ref="A7:H58" xr:uid="{14B03372-B4B4-42B1-AD5B-F95891AC64FF}"/>
  <tableColumns count="8">
    <tableColumn id="1" xr3:uid="{E702DB16-97C2-42E3-9BB3-15000F55171F}" name="_x000a_YEAR" dataDxfId="20"/>
    <tableColumn id="2" xr3:uid="{F325DB17-0B2E-4681-BB63-E891B0BD0D0D}" name="_x000a_PORTERVILLE ID (I) _x000a_TO_x000a_ HILLS VALLEY ID (I) C1_x000a_" dataDxfId="19"/>
    <tableColumn id="3" xr3:uid="{D9A9884E-7710-4F1A-A909-9EEDCDBE0D13}" name="_x000a_SO SAN JOAQUIN MUD (I)_x000a_ TO _x000a_KERN TULARE WD (I) C2_x000a_" dataDxfId="18"/>
    <tableColumn id="4" xr3:uid="{7368E176-133A-4267-BB92-6D5BE0B4DDE8}" name="_x000a_TEA POT DOME WD (I)_x000a_ TO _x000a_SAUCELITO ID (I) C1" dataDxfId="17"/>
    <tableColumn id="5" xr3:uid="{3C126E03-B1ED-41D6-92F4-C0716A0E6C37}" name="_x000a_MERCY SPRINGS WD (I) TO _x000a_WESTLANDS WD-SLC (I)" dataDxfId="16"/>
    <tableColumn id="6" xr3:uid="{086704B2-D0A3-4E78-93F0-4D42E4873C34}" name="_x000a_MERCY SPRINGS WD (I) _x000a_TO _x000a_WESTLANDS WD-SLC (I)" dataDxfId="15"/>
    <tableColumn id="7" xr3:uid="{C925C090-C4BB-4F7D-B0AE-35D814C4A403}" name="_x000a_ORO LOMA WD (I) _x000a_TO_x000a_ WESTLANDS WD (I)" dataDxfId="14"/>
    <tableColumn id="8" xr3:uid="{3FF11043-6BA4-49CA-BF0F-DD694596D4E1}" name="_x000a_MERCY SPRINGS WD (I) _x000a_TO _x000a_SANTA CLARA VALLEY WD (I)" dataDxfId="13"/>
  </tableColumns>
  <tableStyleInfo name="TableStyleLight15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4E1F03E-E671-4ECD-A541-DD526C334E53}" name="Table3" displayName="Table3" ref="A7:E58" totalsRowShown="0" headerRowDxfId="12" dataDxfId="11">
  <tableColumns count="5">
    <tableColumn id="1" xr3:uid="{98671B1A-7115-4B40-820A-66A81B0CF72C}" name="_x000a_YEAR" dataDxfId="10"/>
    <tableColumn id="2" xr3:uid="{025EFD61-2B99-41F3-AF5F-E58947CE38C9}" name="_x000a_WEST SIDE ID (I)_x000a_ TO CITY OF TRACY (M)_x000a_" dataDxfId="9"/>
    <tableColumn id="3" xr3:uid="{2BF41D60-9F43-4F4E-915F-7D1D8FA76B6A}" name="_x000a_WEST SIDE ID (I)_x000a_ TO CITY OF TRACY (M)_x000a_2" dataDxfId="8"/>
    <tableColumn id="4" xr3:uid="{37F65023-C1B5-4FF8-B154-97835A3932A3}" name="_x000a_WIDREN WD (I) _x000a_TO WESTLANDS WD - SLC (I)_x000a_" dataDxfId="7"/>
    <tableColumn id="5" xr3:uid="{140D01C2-092E-4949-81DB-87C0A0BEB453}" name="_x000a_TOTAL" dataDxfId="6"/>
  </tableColumns>
  <tableStyleInfo name="TableStyleLight15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E86A057-ADF5-4AFE-8E8A-FEB4B3670816}" name="Table2" displayName="Table2" ref="A7:D29" totalsRowShown="0" headerRowDxfId="5" headerRowBorderDxfId="4">
  <autoFilter ref="A7:D29" xr:uid="{0E86A057-ADF5-4AFE-8E8A-FEB4B3670816}"/>
  <tableColumns count="4">
    <tableColumn id="1" xr3:uid="{98E38201-5821-4ED7-A7A7-8D00C28C7B85}" name="Assignor" dataDxfId="3"/>
    <tableColumn id="2" xr3:uid="{EDEC9DBB-6A28-49AE-AB5F-FCBFFAE52EF4}" name="Assignee"/>
    <tableColumn id="3" xr3:uid="{77E85666-AB41-4679-8DE5-53932D9F2A8C}" name="A/F" dataDxfId="2"/>
    <tableColumn id="4" xr3:uid="{896F1CE2-C93F-4BF9-BA97-1EAD6F52302D}" name="Effective Date" dataDxfId="1"/>
  </tableColumns>
  <tableStyleInfo name="TableStyleLight1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B8498BBA-D1AF-4134-B155-0CFC666DF7F5}" name="Table20" displayName="Table20" ref="A6:I59" totalsRowShown="0" headerRowDxfId="370" dataDxfId="369">
  <tableColumns count="9">
    <tableColumn id="1" xr3:uid="{C2B05298-5F1B-48D3-8D4E-1D178EAB5230}" name="_x000a_YEAR" dataDxfId="368"/>
    <tableColumn id="2" xr3:uid="{255F9B89-90C4-4291-B2A9-3D1C88C47109}" name="_x000a_CORNING CANAL - CORNING WD " dataDxfId="367"/>
    <tableColumn id="3" xr3:uid="{3B6B6DB0-2FC1-41D3-9646-38F4AA0A991F}" name="_x000a_CORNING CANAL - PROBERTA_x000a_ WD" dataDxfId="366"/>
    <tableColumn id="4" xr3:uid="{1C7A7035-9291-442E-8112-2E127EA2F5F7}" name="_x000a_CORNING CANAL - THOMES CREEK _x000a_WD" dataDxfId="365"/>
    <tableColumn id="5" xr3:uid="{8B186031-8965-4405-BA0B-2BC436CFBADE}" name="_x000a_CORNING CANAL - TOTAL" dataDxfId="364"/>
    <tableColumn id="6" xr3:uid="{2EC791E6-96FF-4216-A6BD-6B075F28F709}" name="_x000a_COW CREEK UNIT - BELLA VISTA _x000a_WD" dataDxfId="363"/>
    <tableColumn id="7" xr3:uid="{A94C0E2F-B34D-4CF9-8DA9-C0CEB19C3AD3}" name="_x000a_CROSS VALLEY CANAL - COUNTY OF FRESNO" dataDxfId="362"/>
    <tableColumn id="8" xr3:uid="{2D789C9F-EB83-4198-8A17-5B90404513F4}" name="_x000a_CROSS VALLEY CANAL -  COUNTY OF TULARE" dataDxfId="361"/>
    <tableColumn id="9" xr3:uid="{F93C8AF1-8C07-45A6-9C0B-637444EB5D67}" name="_x000a_CROSS VALLEY CANAL -  HILLS VALLEY ID" dataDxfId="360"/>
  </tableColumns>
  <tableStyleInfo name="TableStyleLight1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47423DF0-12BA-45AE-8DE2-4EF46D759CDB}" name="Table21" displayName="Table21" ref="A6:I59" totalsRowShown="0" headerRowDxfId="359" dataDxfId="358">
  <tableColumns count="9">
    <tableColumn id="1" xr3:uid="{FEAA22DA-6FEA-4950-B2A8-2AB45F18BA48}" name="_x000a_YEAR" dataDxfId="357"/>
    <tableColumn id="2" xr3:uid="{1952388B-90A2-480C-A505-F95B73F60139}" name="_x000a_CROSS VALLEY CANAL - KERN-TULARE WD" dataDxfId="356"/>
    <tableColumn id="3" xr3:uid="{424EB600-7326-4279-83C4-AC3B438B9A7E}" name="_x000a_CROSS VALLEY CANAL -LOWER TULE RIVER ID - CVC" dataDxfId="355"/>
    <tableColumn id="4" xr3:uid="{20BFED3D-4346-43C2-AE29-2B3F765C7647}" name="_x000a_CROSS VALLEY CANAL - PIXLEY_x000a_ ID" dataDxfId="354"/>
    <tableColumn id="5" xr3:uid="{09953DB2-AC91-4C33-9172-D80BEE8AF4EA}" name="_x000a_CROSS VALLEY CANAL - TRI-VALLEY WD" dataDxfId="353"/>
    <tableColumn id="6" xr3:uid="{E3BAA0BD-4204-4272-B65F-4C2E455AAC29}" name="_x000a_CROSS VALLEY CANAL - TOTAL" dataDxfId="352"/>
    <tableColumn id="7" xr3:uid="{18131CD7-7ECD-4FA1-BA69-925E1D5D70E3}" name="_x000a_DELTA-MENDOTA CANAL - BANTA-CARBONA ID" dataDxfId="351"/>
    <tableColumn id="8" xr3:uid="{A75D4A12-BA21-49B7-A5D9-041651ECCD49}" name="_x000a_DELTA-MENDOTA CANAL - BYRON BETHANY ID" dataDxfId="350"/>
    <tableColumn id="9" xr3:uid="{AAED659D-0667-4143-AFDC-705F1E854537}" name="_x000a_DELTA-MENDOTA CANAL - DEL PUERTO_x000a_WD" dataDxfId="349"/>
  </tableColumns>
  <tableStyleInfo name="TableStyleLight15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40DCBDB-E224-424E-BDE5-817786FBB009}" name="Table22" displayName="Table22" ref="A6:I59" totalsRowShown="0" headerRowDxfId="348" dataDxfId="346" headerRowBorderDxfId="347">
  <tableColumns count="9">
    <tableColumn id="1" xr3:uid="{2A2C81D5-C1F3-423D-87D8-33E8B91745B4}" name="_x000a_YEAR" dataDxfId="345"/>
    <tableColumn id="2" xr3:uid="{00445CA0-11A3-40C9-B78A-3A20CCDE457D}" name="_x000a_DELTA-MENDOTA CANAL - EAGLE FIELD _x000a_WD" dataDxfId="344"/>
    <tableColumn id="3" xr3:uid="{A7A9AF70-599F-483D-AAAE-E319AEC493AC}" name="_x000a_DELTA-MENDOTA CANAL - MERCY SPRINGS  _x000a_WD  1/  " dataDxfId="343"/>
    <tableColumn id="4" xr3:uid="{A498D39B-C97F-4E0A-A4D8-11BD5B2B03A4}" name="_x000a_DELTA-MENDOTA CANAL - ORO LOMA _x000a_WD  1/" dataDxfId="342"/>
    <tableColumn id="5" xr3:uid="{8AB1B454-81BB-48A6-8FBF-865D71E5CE90}" name="_x000a_DELTA-MENDOTA CANAL - PACHECO _x000a_WD - DMC" dataDxfId="341"/>
    <tableColumn id="6" xr3:uid="{2ADA561B-7C6C-475B-90A4-97CF7AC5F173}" name="_x000a_DELTA-MENDOTA CANAL - PANOCHE _x000a_WD - DMC" dataDxfId="340"/>
    <tableColumn id="7" xr3:uid="{BECF9A14-6E7D-4FD4-9BE6-D1DD1E574E33}" name="_x000a_DELTA-MENDOTA CANAL - PATTERSON WD" dataDxfId="339"/>
    <tableColumn id="8" xr3:uid="{8EC9FB31-6025-4B51-B174-4D978DD37D99}" name="_x000a_DELTA-MENDOTA CANAL - SAN LUIS _x000a_WD - DMC" dataDxfId="338"/>
    <tableColumn id="9" xr3:uid="{074CEC9D-824D-415F-80DF-3120C1D942C4}" name="_x000a_DELTA-MENDOTA CANAL - WEST  SIDE_x000a_ ID  1/" dataDxfId="337"/>
  </tableColumns>
  <tableStyleInfo name="TableStyleLight1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CAC846BF-5BE6-4AC6-AD4D-5E8C6AE91AE4}" name="Table23" displayName="Table23" ref="A6:I59" totalsRowShown="0" headerRowDxfId="336" dataDxfId="335">
  <tableColumns count="9">
    <tableColumn id="1" xr3:uid="{F497BFBD-846C-4F81-8649-D9E4904D7706}" name="_x000a_YEAR" dataDxfId="334"/>
    <tableColumn id="2" xr3:uid="{599387EF-033D-421C-9F5F-11FF50A14135}" name="_x000a_DELTA-MENDOTA CANAL - WEST  STANISLAUS ID" dataDxfId="333"/>
    <tableColumn id="3" xr3:uid="{57CD5658-FEFA-4141-BC84-7B794B1102D0}" name="_x000a_DELTA-MENDOTA CANAL - TOTAL" dataDxfId="332"/>
    <tableColumn id="4" xr3:uid="{E010EC78-0240-4C4F-B596-D52A3701085A}" name="_x000a_COELHO_x000a_ TRUST" dataDxfId="331"/>
    <tableColumn id="5" xr3:uid="{840070BF-14C5-4FB1-949A-2BA4A025B14E}" name="_x000a_DELTA-MENDOTA POOL - FRESNO  SLOUGH WD" dataDxfId="330"/>
    <tableColumn id="6" xr3:uid="{3D832A32-6851-4897-9B95-ABD8C7D7233B}" name="_x000a_DELTA-MENDOTA POOL - JAMES ID" dataDxfId="329"/>
    <tableColumn id="7" xr3:uid="{665F99AE-FD1E-4999-A171-16EDED3F5AB4}" name="_x000a_DELTA-MENDOTA POOL - LAGUNA WD" dataDxfId="328"/>
    <tableColumn id="8" xr3:uid="{97E739FF-E809-40CA-91FA-9592EF480104}" name="_x000a_DELTA-MENDOTA POOL - RECL  DIST #1606" dataDxfId="327"/>
    <tableColumn id="9" xr3:uid="{8C317AB6-2670-407E-85A4-71C80416A823}" name="_x000a_DELTA-MENDOTA POOL - TRANQUILLITY_x000a_ ID" dataDxfId="326"/>
  </tableColumns>
  <tableStyleInfo name="TableStyleLight15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1F1A2DFD-2F6D-4126-9D51-530FB7E44AD6}" name="Table24" displayName="Table24" ref="A6:H59" totalsRowShown="0" headerRowDxfId="325" dataDxfId="324">
  <tableColumns count="8">
    <tableColumn id="1" xr3:uid="{07BF71DF-A18C-4D47-BB3F-79BCF4082F76}" name="_x000a_YEAR" dataDxfId="323"/>
    <tableColumn id="2" xr3:uid="{3BC986D5-447F-4733-83B8-32BA4D8F91E5}" name="_x000a_DELTA-MENDOTA POOL - TRANQUILLITY PUD" dataDxfId="322"/>
    <tableColumn id="3" xr3:uid="{68D7E557-EBFD-456F-AE67-DC5F15E2A206}" name="_x000a_DELTA-MENDOTA POOL - WESTLANDS _x000a_WD - DMP" dataDxfId="321"/>
    <tableColumn id="4" xr3:uid="{50FBE262-752E-416E-ACE4-E6E43E84B278}" name="_x000a_DELTA-MENDOTA POOL - TOTAL" dataDxfId="320"/>
    <tableColumn id="5" xr3:uid="{A4A31D29-7179-4979-9E2F-B920C31617D1}" name="_x000a_FRIANT DAM - GRAVELLY FORD _x000a_WD                                  CLASS 2" dataDxfId="319"/>
    <tableColumn id="6" xr3:uid="{FC749A73-8688-4290-9235-0BF361913C14}" name="_x000a_FRIANT-KERN CANAL - ARVIN-EDISON WSD_x000a_CLASS 1   " dataDxfId="318"/>
    <tableColumn id="7" xr3:uid="{284D6867-22DC-4290-B9BD-F28B631D354B}" name="_x000a_FRIANT-KERN CANAL - ARVIN-EDISON WSD_x000a_CLASS 2" dataDxfId="317"/>
    <tableColumn id="8" xr3:uid="{578B29A5-CB6F-48EA-BD62-8FAB76A76506}" name="_x000a_FRIANT-KERN CANAL - ARVIN-EDISON WSD_x000a_ TOTAL" dataDxfId="316"/>
  </tableColumns>
  <tableStyleInfo name="TableStyleLight15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B791EA75-BF0B-4611-8909-FA4AF985012B}" name="Table25" displayName="Table25" ref="A6:J59" totalsRowShown="0" headerRowDxfId="315" dataDxfId="314">
  <tableColumns count="10">
    <tableColumn id="1" xr3:uid="{0AD3893E-F892-4411-BCAA-C90CDFDC1AD4}" name="_x000a_YEAR" dataDxfId="313"/>
    <tableColumn id="2" xr3:uid="{2EE8A248-A6AE-4D63-8CEC-D4B58D53500F}" name="_x000a_FRIANT-KERN CANAL - DELANO-EARLIMART ID_x000a_CLASS 1" dataDxfId="312"/>
    <tableColumn id="3" xr3:uid="{E37DBC05-A71C-487E-AC4E-A9FDB7829D96}" name="_x000a_FRIANT-KERN CANAL - DELANO-EARLIMART ID_x000a_CLASS 2" dataDxfId="311"/>
    <tableColumn id="4" xr3:uid="{1671F415-79BE-4EEC-B485-526B955076E5}" name="_x000a_FRIANT-KERN CANAL - DELANO-EARLIMART ID_x000a_TOTAL" dataDxfId="310"/>
    <tableColumn id="5" xr3:uid="{B0A2CD24-3024-40B1-BD5F-E0BEDE2B34FB}" name="_x000a_FRIANT-KERN CANAL - EXETER_x000a_ ID_x000a_CLASS 1" dataDxfId="309"/>
    <tableColumn id="6" xr3:uid="{5DAEB609-ED90-4FDB-9FDA-724BAD50287B}" name="_x000a_FRIANT-KERN CANAL - EXETER_x000a_ ID_x000a_CLASS 2" dataDxfId="308"/>
    <tableColumn id="7" xr3:uid="{1C841C83-8674-4874-8371-6EC4542A3FC1}" name="_x000a_FRIANT-KERN CANAL - EXETER_x000a_ ID_x000a_TOTAL" dataDxfId="307">
      <calculatedColumnFormula>SUM(E7:F7)</calculatedColumnFormula>
    </tableColumn>
    <tableColumn id="8" xr3:uid="{D3A0DCCB-9B4D-4FB9-931D-62B0D0EA1A0B}" name="_x000a_FRIANT-KERN CANAL - FRESNO _x000a_ID_x000a_ CLASS 1" dataDxfId="306"/>
    <tableColumn id="9" xr3:uid="{654124C1-7945-43C9-88F6-3F6EEABC0746}" name="_x000a_FRIANT-KERN CANAL - FRESNO _x000a_ID _x000a_CLASS 2" dataDxfId="305"/>
    <tableColumn id="10" xr3:uid="{A459048A-695C-482A-8565-5D3527ACFF03}" name="_x000a_FRIANT-KERN CANAL - FRESNO_x000a_ ID _x000a_TOTAL" dataDxfId="304">
      <calculatedColumnFormula>SUM(H7:I7)</calculatedColumnFormula>
    </tableColumn>
  </tableColumns>
  <tableStyleInfo name="TableStyleLight15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5D28A144-34AF-495A-81FE-408D0FC87213}" name="Table26" displayName="Table26" ref="A6:J59" totalsRowShown="0" headerRowDxfId="303" dataDxfId="302">
  <tableColumns count="10">
    <tableColumn id="1" xr3:uid="{CEBF0459-13DD-4C35-B03A-BC57EAE7FA8C}" name="_x000a_YEAR" dataDxfId="301"/>
    <tableColumn id="2" xr3:uid="{35E4B7F5-47E4-4857-B40E-D5D3CCD6B76E}" name="_x000a_FRIANT-KERN CANAL - GARFIELD_x000a_WD_x000a_CLASS 1" dataDxfId="300"/>
    <tableColumn id="4" xr3:uid="{37875E1C-30BC-4585-AD7F-D8EEF08314DE}" name="_x000a_FRIANT-KERN CANAL -HILLS VALLEY_x000a_ ID_x000a_CLASS 1" dataDxfId="299"/>
    <tableColumn id="6" xr3:uid="{3AB8E78E-9484-438B-B6F0-90A812983D41}" name="_x000a_FRIANT-KERN CANAL - INTERNATIONAL  WD _x000a_CLASS 1" dataDxfId="298"/>
    <tableColumn id="8" xr3:uid="{2BB083D8-91F7-4D9C-82CC-FB0C1C9647A5}" name="_x000a_FRIANT-KERN CANAL -IVANHOE_x000a_ ID 1/_x000a_CLASS 1" dataDxfId="297"/>
    <tableColumn id="10" xr3:uid="{137FC71B-4E0D-4C65-9FBE-85239B07323F}" name="_x000a_FRIANT-KERN CANAL -IVANHOE _x000a_ID 1/_x000a_CLASS 2" dataDxfId="296"/>
    <tableColumn id="12" xr3:uid="{A8F45AC0-3BEA-441F-809F-30BAE87AC881}" name="_x000a_FRIANT-KERN CANAL -IVANHOE_x000a_ ID 1/_x000a_TOTAL" dataDxfId="295">
      <calculatedColumnFormula>SUM(E7:F7)</calculatedColumnFormula>
    </tableColumn>
    <tableColumn id="14" xr3:uid="{A656348E-CA0B-4FB3-B85E-6C15B593E47D}" name="_x000a_FRIANT-KERN CANAL -KAWEAH DELTA WCD   1/_x000a_CLASS 1" dataDxfId="294"/>
    <tableColumn id="3" xr3:uid="{EDD84E23-AC4F-4C10-A191-6D0F5E64B052}" name="_x000a_FRIANT-KERN CANAL -KAWEAH DELTA WCD   1/_x000a_CLASS 2" dataDxfId="293"/>
    <tableColumn id="16" xr3:uid="{36A2D1C7-0F08-403F-8BD1-F4539EC050AA}" name="_x000a_FRIANT-KERN CANAL -KAWEAH DELTA WCD   1/_x000a_TOTAL" dataDxfId="292">
      <calculatedColumnFormula>Table26[[#This Row],[
FRIANT-KERN CANAL -KAWEAH DELTA WCD   1/
CLASS 1]]+Table26[[#This Row],[
FRIANT-KERN CANAL -KAWEAH DELTA WCD   1/
CLASS 2]]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6" Type="http://schemas.openxmlformats.org/officeDocument/2006/relationships/table" Target="../tables/table10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5" Type="http://schemas.openxmlformats.org/officeDocument/2006/relationships/table" Target="../tables/table11.xml"/><Relationship Id="rId4" Type="http://schemas.openxmlformats.org/officeDocument/2006/relationships/ctrlProp" Target="../ctrlProps/ctrlProp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6" Type="http://schemas.openxmlformats.org/officeDocument/2006/relationships/comments" Target="../comments1.xml"/><Relationship Id="rId5" Type="http://schemas.openxmlformats.org/officeDocument/2006/relationships/table" Target="../tables/table12.xml"/><Relationship Id="rId4" Type="http://schemas.openxmlformats.org/officeDocument/2006/relationships/ctrlProp" Target="../ctrlProps/ctrlProp12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6" Type="http://schemas.openxmlformats.org/officeDocument/2006/relationships/table" Target="../tables/table13.xml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5" Type="http://schemas.openxmlformats.org/officeDocument/2006/relationships/table" Target="../tables/table14.xml"/><Relationship Id="rId4" Type="http://schemas.openxmlformats.org/officeDocument/2006/relationships/ctrlProp" Target="../ctrlProps/ctrlProp15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5" Type="http://schemas.openxmlformats.org/officeDocument/2006/relationships/table" Target="../tables/table15.xml"/><Relationship Id="rId4" Type="http://schemas.openxmlformats.org/officeDocument/2006/relationships/ctrlProp" Target="../ctrlProps/ctrlProp16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5" Type="http://schemas.openxmlformats.org/officeDocument/2006/relationships/table" Target="../tables/table16.xml"/><Relationship Id="rId4" Type="http://schemas.openxmlformats.org/officeDocument/2006/relationships/ctrlProp" Target="../ctrlProps/ctrlProp17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Relationship Id="rId5" Type="http://schemas.openxmlformats.org/officeDocument/2006/relationships/table" Target="../tables/table17.xml"/><Relationship Id="rId4" Type="http://schemas.openxmlformats.org/officeDocument/2006/relationships/ctrlProp" Target="../ctrlProps/ctrlProp18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Relationship Id="rId5" Type="http://schemas.openxmlformats.org/officeDocument/2006/relationships/table" Target="../tables/table18.xml"/><Relationship Id="rId4" Type="http://schemas.openxmlformats.org/officeDocument/2006/relationships/ctrlProp" Target="../ctrlProps/ctrlProp19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Relationship Id="rId5" Type="http://schemas.openxmlformats.org/officeDocument/2006/relationships/table" Target="../tables/table19.xml"/><Relationship Id="rId4" Type="http://schemas.openxmlformats.org/officeDocument/2006/relationships/ctrlProp" Target="../ctrlProps/ctrlProp20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Relationship Id="rId5" Type="http://schemas.openxmlformats.org/officeDocument/2006/relationships/table" Target="../tables/table20.xml"/><Relationship Id="rId4" Type="http://schemas.openxmlformats.org/officeDocument/2006/relationships/ctrlProp" Target="../ctrlProps/ctrlProp2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Relationship Id="rId5" Type="http://schemas.openxmlformats.org/officeDocument/2006/relationships/table" Target="../tables/table21.xml"/><Relationship Id="rId4" Type="http://schemas.openxmlformats.org/officeDocument/2006/relationships/ctrlProp" Target="../ctrlProps/ctrlProp22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Relationship Id="rId5" Type="http://schemas.openxmlformats.org/officeDocument/2006/relationships/table" Target="../tables/table22.xml"/><Relationship Id="rId4" Type="http://schemas.openxmlformats.org/officeDocument/2006/relationships/ctrlProp" Target="../ctrlProps/ctrlProp23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Relationship Id="rId5" Type="http://schemas.openxmlformats.org/officeDocument/2006/relationships/table" Target="../tables/table23.xml"/><Relationship Id="rId4" Type="http://schemas.openxmlformats.org/officeDocument/2006/relationships/ctrlProp" Target="../ctrlProps/ctrlProp24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Relationship Id="rId5" Type="http://schemas.openxmlformats.org/officeDocument/2006/relationships/table" Target="../tables/table24.xml"/><Relationship Id="rId4" Type="http://schemas.openxmlformats.org/officeDocument/2006/relationships/ctrlProp" Target="../ctrlProps/ctrlProp25.xm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2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6.bin"/><Relationship Id="rId6" Type="http://schemas.openxmlformats.org/officeDocument/2006/relationships/table" Target="../tables/table26.xml"/><Relationship Id="rId5" Type="http://schemas.openxmlformats.org/officeDocument/2006/relationships/ctrlProp" Target="../ctrlProps/ctrlProp27.xml"/><Relationship Id="rId4" Type="http://schemas.openxmlformats.org/officeDocument/2006/relationships/ctrlProp" Target="../ctrlProps/ctrlProp26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7.bin"/><Relationship Id="rId6" Type="http://schemas.openxmlformats.org/officeDocument/2006/relationships/table" Target="../tables/table27.xml"/><Relationship Id="rId5" Type="http://schemas.openxmlformats.org/officeDocument/2006/relationships/ctrlProp" Target="../ctrlProps/ctrlProp29.xml"/><Relationship Id="rId4" Type="http://schemas.openxmlformats.org/officeDocument/2006/relationships/ctrlProp" Target="../ctrlProps/ctrlProp28.xm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8.bin"/><Relationship Id="rId5" Type="http://schemas.openxmlformats.org/officeDocument/2006/relationships/table" Target="../tables/table28.xml"/><Relationship Id="rId4" Type="http://schemas.openxmlformats.org/officeDocument/2006/relationships/ctrlProp" Target="../ctrlProps/ctrlProp3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3.xml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table" Target="../tables/table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table" Target="../tables/table5.xml"/><Relationship Id="rId4" Type="http://schemas.openxmlformats.org/officeDocument/2006/relationships/ctrlProp" Target="../ctrlProps/ctrlProp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table" Target="../tables/table6.xml"/><Relationship Id="rId4" Type="http://schemas.openxmlformats.org/officeDocument/2006/relationships/ctrlProp" Target="../ctrlProps/ctrlProp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5" Type="http://schemas.openxmlformats.org/officeDocument/2006/relationships/table" Target="../tables/table7.xml"/><Relationship Id="rId4" Type="http://schemas.openxmlformats.org/officeDocument/2006/relationships/ctrlProp" Target="../ctrlProps/ctrlProp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5" Type="http://schemas.openxmlformats.org/officeDocument/2006/relationships/table" Target="../tables/table8.xml"/><Relationship Id="rId4" Type="http://schemas.openxmlformats.org/officeDocument/2006/relationships/ctrlProp" Target="../ctrlProps/ctrlProp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5" Type="http://schemas.openxmlformats.org/officeDocument/2006/relationships/table" Target="../tables/table9.xml"/><Relationship Id="rId4" Type="http://schemas.openxmlformats.org/officeDocument/2006/relationships/ctrlProp" Target="../ctrlProps/ctrlProp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F027C-3144-4335-B590-2BE563A2CEF7}">
  <sheetPr transitionEvaluation="1" transitionEntry="1" codeName="Sheet2">
    <pageSetUpPr fitToPage="1"/>
  </sheetPr>
  <dimension ref="A1:E183"/>
  <sheetViews>
    <sheetView defaultGridColor="0" topLeftCell="A4" colorId="22" zoomScale="90" zoomScaleNormal="90" zoomScaleSheetLayoutView="100" workbookViewId="0">
      <selection activeCell="B6" sqref="B6"/>
    </sheetView>
  </sheetViews>
  <sheetFormatPr defaultColWidth="9.58203125" defaultRowHeight="15.5" x14ac:dyDescent="0.35"/>
  <cols>
    <col min="1" max="1" width="37.5" style="9" customWidth="1"/>
    <col min="2" max="2" width="29.33203125" bestFit="1" customWidth="1"/>
    <col min="3" max="3" width="12.58203125" customWidth="1"/>
    <col min="13" max="13" width="14.58203125" customWidth="1"/>
  </cols>
  <sheetData>
    <row r="1" spans="1:5" s="2" customFormat="1" ht="21.75" customHeight="1" x14ac:dyDescent="0.55000000000000004">
      <c r="A1" s="251" t="s">
        <v>0</v>
      </c>
      <c r="B1" s="252"/>
      <c r="C1" s="1"/>
      <c r="D1" s="1"/>
      <c r="E1" s="1"/>
    </row>
    <row r="2" spans="1:5" s="2" customFormat="1" ht="21.75" customHeight="1" x14ac:dyDescent="0.55000000000000004">
      <c r="A2" s="253" t="s">
        <v>1</v>
      </c>
      <c r="B2" s="252"/>
      <c r="C2" s="1"/>
      <c r="D2" s="1"/>
      <c r="E2" s="1"/>
    </row>
    <row r="3" spans="1:5" s="4" customFormat="1" ht="21" x14ac:dyDescent="0.4">
      <c r="A3" s="238" t="s">
        <v>2</v>
      </c>
      <c r="B3" s="254"/>
      <c r="C3" s="3"/>
      <c r="D3" s="3"/>
      <c r="E3" s="3"/>
    </row>
    <row r="4" spans="1:5" s="4" customFormat="1" ht="84" x14ac:dyDescent="0.4">
      <c r="A4" s="238" t="s">
        <v>3</v>
      </c>
      <c r="B4" s="254"/>
      <c r="C4" s="3"/>
      <c r="D4" s="3"/>
      <c r="E4" s="3"/>
    </row>
    <row r="5" spans="1:5" s="4" customFormat="1" ht="84" x14ac:dyDescent="0.4">
      <c r="A5" s="238" t="s">
        <v>4</v>
      </c>
      <c r="B5" s="254"/>
      <c r="C5" s="3"/>
      <c r="D5" s="3"/>
      <c r="E5" s="3"/>
    </row>
    <row r="6" spans="1:5" s="2" customFormat="1" ht="22.9" customHeight="1" x14ac:dyDescent="0.55000000000000004">
      <c r="A6" s="255" t="s">
        <v>419</v>
      </c>
      <c r="B6" s="256" t="s">
        <v>420</v>
      </c>
      <c r="C6" s="1"/>
      <c r="D6" s="1"/>
      <c r="E6" s="1"/>
    </row>
    <row r="7" spans="1:5" ht="18" customHeight="1" x14ac:dyDescent="0.45">
      <c r="A7" s="257">
        <v>2</v>
      </c>
      <c r="B7" s="258" t="s">
        <v>5</v>
      </c>
      <c r="C7" s="5"/>
      <c r="D7" s="5"/>
      <c r="E7" s="5"/>
    </row>
    <row r="8" spans="1:5" ht="18" customHeight="1" x14ac:dyDescent="0.45">
      <c r="A8" s="257"/>
      <c r="B8" s="258" t="s">
        <v>6</v>
      </c>
      <c r="C8" s="5"/>
      <c r="D8" s="5"/>
      <c r="E8" s="5"/>
    </row>
    <row r="9" spans="1:5" ht="18" customHeight="1" x14ac:dyDescent="0.45">
      <c r="A9" s="257"/>
      <c r="B9" s="258" t="s">
        <v>7</v>
      </c>
      <c r="C9" s="5"/>
      <c r="D9" s="5"/>
      <c r="E9" s="5"/>
    </row>
    <row r="10" spans="1:5" ht="18" customHeight="1" x14ac:dyDescent="0.45">
      <c r="A10" s="257"/>
      <c r="B10" s="258" t="s">
        <v>8</v>
      </c>
      <c r="C10" s="5"/>
      <c r="D10" s="5"/>
      <c r="E10" s="5"/>
    </row>
    <row r="11" spans="1:5" ht="18" customHeight="1" x14ac:dyDescent="0.45">
      <c r="A11" s="257">
        <v>3</v>
      </c>
      <c r="B11" s="258" t="s">
        <v>9</v>
      </c>
      <c r="C11" s="5"/>
      <c r="D11" s="5"/>
      <c r="E11" s="5"/>
    </row>
    <row r="12" spans="1:5" ht="18" customHeight="1" x14ac:dyDescent="0.45">
      <c r="A12" s="257"/>
      <c r="B12" s="258" t="s">
        <v>10</v>
      </c>
      <c r="C12" s="5"/>
      <c r="D12" s="5"/>
      <c r="E12" s="5"/>
    </row>
    <row r="13" spans="1:5" ht="18" customHeight="1" x14ac:dyDescent="0.45">
      <c r="A13" s="259" t="s">
        <v>406</v>
      </c>
      <c r="B13" s="258" t="s">
        <v>11</v>
      </c>
      <c r="C13" s="5"/>
      <c r="D13" s="5"/>
      <c r="E13" s="5"/>
    </row>
    <row r="14" spans="1:5" ht="18" customHeight="1" x14ac:dyDescent="0.45">
      <c r="A14" s="259" t="s">
        <v>407</v>
      </c>
      <c r="B14" s="258" t="s">
        <v>12</v>
      </c>
      <c r="C14" s="5"/>
      <c r="D14" s="5"/>
      <c r="E14" s="5"/>
    </row>
    <row r="15" spans="1:5" ht="18" customHeight="1" x14ac:dyDescent="0.45">
      <c r="A15" s="259" t="s">
        <v>408</v>
      </c>
      <c r="B15" s="258" t="s">
        <v>13</v>
      </c>
      <c r="C15" s="5"/>
      <c r="D15" s="5"/>
      <c r="E15" s="5"/>
    </row>
    <row r="16" spans="1:5" ht="18" customHeight="1" x14ac:dyDescent="0.45">
      <c r="A16" s="257">
        <v>7</v>
      </c>
      <c r="B16" s="260" t="s">
        <v>14</v>
      </c>
      <c r="C16" s="5"/>
      <c r="D16" s="5"/>
      <c r="E16" s="5"/>
    </row>
    <row r="17" spans="1:5" ht="18" customHeight="1" x14ac:dyDescent="0.45">
      <c r="A17" s="257">
        <f>7-13</f>
        <v>-6</v>
      </c>
      <c r="B17" s="258" t="s">
        <v>15</v>
      </c>
      <c r="C17" s="5"/>
      <c r="D17" s="5"/>
      <c r="E17" s="5"/>
    </row>
    <row r="18" spans="1:5" ht="18" customHeight="1" x14ac:dyDescent="0.45">
      <c r="A18" s="257">
        <v>13</v>
      </c>
      <c r="B18" s="258" t="s">
        <v>16</v>
      </c>
      <c r="C18" s="5"/>
      <c r="D18" s="5"/>
      <c r="E18" s="5"/>
    </row>
    <row r="19" spans="1:5" ht="18" customHeight="1" x14ac:dyDescent="0.45">
      <c r="A19" s="257">
        <v>14</v>
      </c>
      <c r="B19" s="258" t="s">
        <v>17</v>
      </c>
      <c r="C19" s="5"/>
      <c r="D19" s="5"/>
      <c r="E19" s="5"/>
    </row>
    <row r="20" spans="1:5" ht="18" customHeight="1" x14ac:dyDescent="0.45">
      <c r="A20" s="257">
        <v>15</v>
      </c>
      <c r="B20" s="258" t="s">
        <v>18</v>
      </c>
      <c r="C20" s="5"/>
      <c r="D20" s="5"/>
      <c r="E20" s="5"/>
    </row>
    <row r="21" spans="1:5" ht="18" customHeight="1" x14ac:dyDescent="0.45">
      <c r="A21" s="257">
        <v>15</v>
      </c>
      <c r="B21" s="258" t="s">
        <v>19</v>
      </c>
      <c r="C21" s="5"/>
      <c r="D21" s="5"/>
      <c r="E21" s="5"/>
    </row>
    <row r="22" spans="1:5" ht="18" customHeight="1" x14ac:dyDescent="0.45">
      <c r="A22" s="259" t="s">
        <v>20</v>
      </c>
      <c r="B22" s="258" t="s">
        <v>21</v>
      </c>
      <c r="C22" s="5"/>
      <c r="D22" s="5"/>
      <c r="E22" s="5"/>
    </row>
    <row r="23" spans="1:5" ht="18" customHeight="1" x14ac:dyDescent="0.45">
      <c r="A23" s="257">
        <v>25</v>
      </c>
      <c r="B23" s="258" t="s">
        <v>22</v>
      </c>
      <c r="C23" s="5"/>
      <c r="D23" s="5"/>
      <c r="E23" s="5"/>
    </row>
    <row r="24" spans="1:5" ht="18" customHeight="1" x14ac:dyDescent="0.45">
      <c r="A24" s="257">
        <v>25</v>
      </c>
      <c r="B24" s="260" t="s">
        <v>23</v>
      </c>
      <c r="C24" s="5"/>
      <c r="D24" s="5"/>
      <c r="E24" s="5"/>
    </row>
    <row r="25" spans="1:5" ht="18" customHeight="1" x14ac:dyDescent="0.45">
      <c r="A25" s="257">
        <v>26</v>
      </c>
      <c r="B25" s="260" t="s">
        <v>24</v>
      </c>
      <c r="C25" s="5"/>
      <c r="D25" s="5"/>
      <c r="E25" s="5"/>
    </row>
    <row r="26" spans="1:5" ht="18" customHeight="1" x14ac:dyDescent="0.45">
      <c r="A26" s="259" t="s">
        <v>25</v>
      </c>
      <c r="B26" s="258" t="s">
        <v>26</v>
      </c>
      <c r="C26" s="5"/>
      <c r="D26" s="5"/>
      <c r="E26" s="5"/>
    </row>
    <row r="27" spans="1:5" ht="18" customHeight="1" x14ac:dyDescent="0.45">
      <c r="A27" s="257">
        <v>28</v>
      </c>
      <c r="B27" s="258" t="s">
        <v>27</v>
      </c>
      <c r="C27" s="5"/>
      <c r="D27" s="5"/>
      <c r="E27" s="5"/>
    </row>
    <row r="28" spans="1:5" ht="18" customHeight="1" x14ac:dyDescent="0.45">
      <c r="A28" s="259" t="s">
        <v>28</v>
      </c>
      <c r="B28" s="258" t="s">
        <v>29</v>
      </c>
      <c r="C28" s="5"/>
      <c r="D28" s="5"/>
      <c r="E28" s="5"/>
    </row>
    <row r="29" spans="1:5" ht="18" customHeight="1" x14ac:dyDescent="0.45">
      <c r="A29" s="259" t="s">
        <v>30</v>
      </c>
      <c r="B29" s="258" t="s">
        <v>31</v>
      </c>
      <c r="C29" s="5"/>
      <c r="D29" s="5"/>
      <c r="E29" s="5"/>
    </row>
    <row r="30" spans="1:5" ht="17.5" x14ac:dyDescent="0.45">
      <c r="A30" s="257">
        <v>36</v>
      </c>
      <c r="B30" s="258" t="s">
        <v>32</v>
      </c>
      <c r="C30" s="5"/>
      <c r="D30" s="5"/>
      <c r="E30" s="5"/>
    </row>
    <row r="31" spans="1:5" ht="17.5" x14ac:dyDescent="0.35">
      <c r="A31" s="7"/>
      <c r="B31" s="6"/>
      <c r="C31" s="5"/>
      <c r="D31" s="5"/>
      <c r="E31" s="5"/>
    </row>
    <row r="32" spans="1:5" x14ac:dyDescent="0.35">
      <c r="A32" s="8"/>
      <c r="B32" s="5"/>
      <c r="C32" s="5"/>
      <c r="D32" s="5"/>
      <c r="E32" s="5"/>
    </row>
    <row r="33" spans="1:5" x14ac:dyDescent="0.35">
      <c r="A33" s="8"/>
      <c r="B33" s="5"/>
      <c r="C33" s="5"/>
      <c r="D33" s="5"/>
      <c r="E33" s="5"/>
    </row>
    <row r="34" spans="1:5" x14ac:dyDescent="0.35">
      <c r="A34" s="8"/>
      <c r="B34" s="5"/>
      <c r="C34" s="5"/>
      <c r="D34" s="5"/>
      <c r="E34" s="5"/>
    </row>
    <row r="35" spans="1:5" x14ac:dyDescent="0.35">
      <c r="A35" s="8"/>
      <c r="B35" s="5"/>
      <c r="C35" s="5"/>
      <c r="D35" s="5"/>
      <c r="E35" s="5"/>
    </row>
    <row r="36" spans="1:5" x14ac:dyDescent="0.35">
      <c r="A36" s="8"/>
      <c r="B36" s="5"/>
      <c r="C36" s="5"/>
      <c r="D36" s="5"/>
      <c r="E36" s="5"/>
    </row>
    <row r="37" spans="1:5" x14ac:dyDescent="0.35">
      <c r="A37" s="8"/>
      <c r="B37" s="6"/>
      <c r="C37" s="5"/>
      <c r="D37" s="5"/>
      <c r="E37" s="5"/>
    </row>
    <row r="38" spans="1:5" x14ac:dyDescent="0.35">
      <c r="A38" s="8"/>
      <c r="B38" s="5"/>
      <c r="C38" s="5"/>
      <c r="D38" s="5"/>
      <c r="E38" s="5"/>
    </row>
    <row r="39" spans="1:5" x14ac:dyDescent="0.35">
      <c r="A39" s="8"/>
      <c r="B39" s="5"/>
      <c r="C39" s="5"/>
      <c r="D39" s="5"/>
      <c r="E39" s="5"/>
    </row>
    <row r="40" spans="1:5" x14ac:dyDescent="0.35">
      <c r="A40" s="8"/>
      <c r="B40" s="5"/>
      <c r="C40" s="5"/>
      <c r="D40" s="5"/>
      <c r="E40" s="5"/>
    </row>
    <row r="41" spans="1:5" x14ac:dyDescent="0.35">
      <c r="A41" s="8"/>
      <c r="B41" s="5"/>
      <c r="C41" s="5"/>
      <c r="D41" s="5"/>
      <c r="E41" s="5"/>
    </row>
    <row r="42" spans="1:5" x14ac:dyDescent="0.35">
      <c r="A42" s="8"/>
      <c r="B42" s="5"/>
      <c r="C42" s="5"/>
      <c r="D42" s="5"/>
      <c r="E42" s="5"/>
    </row>
    <row r="43" spans="1:5" x14ac:dyDescent="0.35">
      <c r="A43" s="8"/>
      <c r="B43" s="5"/>
      <c r="C43" s="5"/>
      <c r="D43" s="5"/>
      <c r="E43" s="5"/>
    </row>
    <row r="44" spans="1:5" x14ac:dyDescent="0.35">
      <c r="A44" s="8"/>
      <c r="B44" s="5"/>
      <c r="C44" s="5"/>
      <c r="D44" s="5"/>
      <c r="E44" s="5"/>
    </row>
    <row r="45" spans="1:5" x14ac:dyDescent="0.35">
      <c r="A45" s="8"/>
      <c r="B45" s="5"/>
      <c r="C45" s="5"/>
      <c r="D45" s="5"/>
      <c r="E45" s="5"/>
    </row>
    <row r="46" spans="1:5" x14ac:dyDescent="0.35">
      <c r="A46" s="8"/>
      <c r="B46" s="5"/>
      <c r="C46" s="5"/>
      <c r="D46" s="5"/>
      <c r="E46" s="5"/>
    </row>
    <row r="47" spans="1:5" x14ac:dyDescent="0.35">
      <c r="A47" s="8"/>
      <c r="B47" s="5"/>
      <c r="C47" s="5"/>
      <c r="D47" s="5"/>
      <c r="E47" s="5"/>
    </row>
    <row r="48" spans="1:5" x14ac:dyDescent="0.35">
      <c r="A48" s="8"/>
      <c r="B48" s="5"/>
      <c r="C48" s="5"/>
      <c r="D48" s="5"/>
      <c r="E48" s="5"/>
    </row>
    <row r="49" spans="1:5" x14ac:dyDescent="0.35">
      <c r="A49" s="8"/>
      <c r="B49" s="5"/>
      <c r="C49" s="5"/>
      <c r="D49" s="5"/>
      <c r="E49" s="5"/>
    </row>
    <row r="50" spans="1:5" x14ac:dyDescent="0.35">
      <c r="A50" s="8"/>
      <c r="B50" s="5"/>
      <c r="C50" s="5"/>
      <c r="D50" s="5"/>
      <c r="E50" s="5"/>
    </row>
    <row r="51" spans="1:5" x14ac:dyDescent="0.35">
      <c r="A51" s="8"/>
      <c r="B51" s="5"/>
      <c r="C51" s="5"/>
      <c r="D51" s="5"/>
      <c r="E51" s="5"/>
    </row>
    <row r="52" spans="1:5" x14ac:dyDescent="0.35">
      <c r="A52" s="8"/>
      <c r="B52" s="5"/>
      <c r="C52" s="5"/>
      <c r="D52" s="5"/>
      <c r="E52" s="5"/>
    </row>
    <row r="53" spans="1:5" x14ac:dyDescent="0.35">
      <c r="A53" s="8"/>
      <c r="B53" s="5"/>
      <c r="C53" s="5"/>
      <c r="D53" s="5"/>
      <c r="E53" s="5"/>
    </row>
    <row r="54" spans="1:5" x14ac:dyDescent="0.35">
      <c r="A54" s="8"/>
      <c r="B54" s="5"/>
      <c r="C54" s="5"/>
      <c r="D54" s="5"/>
      <c r="E54" s="5"/>
    </row>
    <row r="55" spans="1:5" x14ac:dyDescent="0.35">
      <c r="A55" s="8"/>
      <c r="B55" s="5"/>
      <c r="C55" s="5"/>
      <c r="D55" s="5"/>
      <c r="E55" s="5"/>
    </row>
    <row r="56" spans="1:5" x14ac:dyDescent="0.35">
      <c r="A56" s="8"/>
      <c r="B56" s="5"/>
      <c r="C56" s="5"/>
      <c r="D56" s="5"/>
      <c r="E56" s="5"/>
    </row>
    <row r="57" spans="1:5" x14ac:dyDescent="0.35">
      <c r="A57" s="8"/>
      <c r="B57" s="5"/>
      <c r="C57" s="5"/>
      <c r="D57" s="5"/>
      <c r="E57" s="5"/>
    </row>
    <row r="58" spans="1:5" x14ac:dyDescent="0.35">
      <c r="A58" s="8"/>
      <c r="B58" s="5"/>
      <c r="C58" s="5"/>
      <c r="D58" s="5"/>
      <c r="E58" s="5"/>
    </row>
    <row r="59" spans="1:5" x14ac:dyDescent="0.35">
      <c r="A59" s="8"/>
      <c r="B59" s="5"/>
      <c r="C59" s="5"/>
      <c r="D59" s="5"/>
      <c r="E59" s="5"/>
    </row>
    <row r="60" spans="1:5" x14ac:dyDescent="0.35">
      <c r="A60" s="8"/>
      <c r="B60" s="5"/>
      <c r="C60" s="5"/>
      <c r="D60" s="5"/>
      <c r="E60" s="5"/>
    </row>
    <row r="61" spans="1:5" x14ac:dyDescent="0.35">
      <c r="A61" s="8"/>
      <c r="B61" s="5"/>
      <c r="C61" s="5"/>
      <c r="D61" s="5"/>
      <c r="E61" s="5"/>
    </row>
    <row r="62" spans="1:5" x14ac:dyDescent="0.35">
      <c r="A62" s="8"/>
      <c r="B62" s="5"/>
      <c r="C62" s="5"/>
      <c r="D62" s="5"/>
      <c r="E62" s="5"/>
    </row>
    <row r="63" spans="1:5" x14ac:dyDescent="0.35">
      <c r="A63" s="8"/>
      <c r="B63" s="5"/>
      <c r="C63" s="5"/>
      <c r="D63" s="5"/>
      <c r="E63" s="5"/>
    </row>
    <row r="64" spans="1:5" x14ac:dyDescent="0.35">
      <c r="A64" s="8"/>
      <c r="B64" s="5"/>
      <c r="C64" s="5"/>
      <c r="D64" s="5"/>
      <c r="E64" s="5"/>
    </row>
    <row r="65" spans="1:5" x14ac:dyDescent="0.35">
      <c r="A65" s="8"/>
      <c r="B65" s="5"/>
      <c r="C65" s="5"/>
      <c r="D65" s="5"/>
      <c r="E65" s="5"/>
    </row>
    <row r="66" spans="1:5" x14ac:dyDescent="0.35">
      <c r="A66" s="8"/>
      <c r="B66" s="5"/>
      <c r="C66" s="5"/>
      <c r="D66" s="5"/>
      <c r="E66" s="5"/>
    </row>
    <row r="67" spans="1:5" x14ac:dyDescent="0.35">
      <c r="A67" s="8"/>
      <c r="B67" s="5"/>
      <c r="C67" s="5"/>
      <c r="D67" s="5"/>
      <c r="E67" s="5"/>
    </row>
    <row r="68" spans="1:5" x14ac:dyDescent="0.35">
      <c r="A68" s="8"/>
      <c r="B68" s="5"/>
      <c r="C68" s="5"/>
      <c r="D68" s="5"/>
      <c r="E68" s="5"/>
    </row>
    <row r="69" spans="1:5" x14ac:dyDescent="0.35">
      <c r="A69" s="8"/>
      <c r="B69" s="5"/>
      <c r="C69" s="5"/>
      <c r="D69" s="5"/>
      <c r="E69" s="5"/>
    </row>
    <row r="70" spans="1:5" x14ac:dyDescent="0.35">
      <c r="A70" s="8"/>
      <c r="B70" s="5"/>
      <c r="C70" s="5"/>
      <c r="D70" s="5"/>
      <c r="E70" s="5"/>
    </row>
    <row r="71" spans="1:5" x14ac:dyDescent="0.35">
      <c r="A71" s="8"/>
      <c r="B71" s="5"/>
      <c r="C71" s="5"/>
      <c r="D71" s="5"/>
      <c r="E71" s="5"/>
    </row>
    <row r="72" spans="1:5" x14ac:dyDescent="0.35">
      <c r="A72" s="8"/>
      <c r="B72" s="5"/>
      <c r="C72" s="5"/>
      <c r="D72" s="5"/>
      <c r="E72" s="5"/>
    </row>
    <row r="73" spans="1:5" x14ac:dyDescent="0.35">
      <c r="A73" s="8"/>
      <c r="B73" s="5"/>
      <c r="C73" s="5"/>
      <c r="D73" s="5"/>
      <c r="E73" s="5"/>
    </row>
    <row r="74" spans="1:5" x14ac:dyDescent="0.35">
      <c r="A74" s="8"/>
      <c r="B74" s="5"/>
      <c r="C74" s="5"/>
      <c r="D74" s="5"/>
      <c r="E74" s="5"/>
    </row>
    <row r="75" spans="1:5" x14ac:dyDescent="0.35">
      <c r="A75" s="8"/>
      <c r="B75" s="5"/>
      <c r="C75" s="5"/>
      <c r="D75" s="5"/>
      <c r="E75" s="5"/>
    </row>
    <row r="76" spans="1:5" x14ac:dyDescent="0.35">
      <c r="A76" s="8"/>
      <c r="B76" s="5"/>
      <c r="C76" s="5"/>
      <c r="D76" s="5"/>
      <c r="E76" s="5"/>
    </row>
    <row r="77" spans="1:5" x14ac:dyDescent="0.35">
      <c r="A77" s="8"/>
      <c r="B77" s="5"/>
      <c r="C77" s="5"/>
      <c r="D77" s="5"/>
      <c r="E77" s="5"/>
    </row>
    <row r="78" spans="1:5" x14ac:dyDescent="0.35">
      <c r="A78" s="8"/>
      <c r="B78" s="5"/>
      <c r="C78" s="5"/>
      <c r="D78" s="5"/>
      <c r="E78" s="5"/>
    </row>
    <row r="79" spans="1:5" x14ac:dyDescent="0.35">
      <c r="A79" s="8"/>
      <c r="B79" s="5"/>
      <c r="C79" s="5"/>
      <c r="D79" s="5"/>
      <c r="E79" s="5"/>
    </row>
    <row r="80" spans="1:5" x14ac:dyDescent="0.35">
      <c r="A80" s="8"/>
      <c r="B80" s="5"/>
      <c r="C80" s="5"/>
      <c r="D80" s="5"/>
      <c r="E80" s="5"/>
    </row>
    <row r="81" spans="1:5" x14ac:dyDescent="0.35">
      <c r="A81" s="8"/>
      <c r="B81" s="5"/>
      <c r="C81" s="5"/>
      <c r="D81" s="5"/>
      <c r="E81" s="5"/>
    </row>
    <row r="82" spans="1:5" x14ac:dyDescent="0.35">
      <c r="A82" s="8"/>
      <c r="B82" s="5"/>
      <c r="C82" s="5"/>
      <c r="D82" s="5"/>
      <c r="E82" s="5"/>
    </row>
    <row r="83" spans="1:5" x14ac:dyDescent="0.35">
      <c r="A83" s="8"/>
      <c r="B83" s="5"/>
      <c r="C83" s="5"/>
      <c r="D83" s="5"/>
      <c r="E83" s="5"/>
    </row>
    <row r="84" spans="1:5" x14ac:dyDescent="0.35">
      <c r="A84" s="8"/>
      <c r="B84" s="5"/>
      <c r="C84" s="5"/>
      <c r="D84" s="5"/>
      <c r="E84" s="5"/>
    </row>
    <row r="85" spans="1:5" x14ac:dyDescent="0.35">
      <c r="A85" s="8"/>
      <c r="B85" s="5"/>
      <c r="C85" s="5"/>
      <c r="D85" s="5"/>
      <c r="E85" s="5"/>
    </row>
    <row r="86" spans="1:5" x14ac:dyDescent="0.35">
      <c r="A86" s="8"/>
      <c r="B86" s="5"/>
      <c r="C86" s="5"/>
      <c r="D86" s="5"/>
      <c r="E86" s="5"/>
    </row>
    <row r="87" spans="1:5" x14ac:dyDescent="0.35">
      <c r="A87" s="8"/>
      <c r="B87" s="5"/>
      <c r="C87" s="5"/>
      <c r="D87" s="5"/>
      <c r="E87" s="5"/>
    </row>
    <row r="88" spans="1:5" x14ac:dyDescent="0.35">
      <c r="A88" s="8"/>
      <c r="B88" s="5"/>
      <c r="C88" s="5"/>
      <c r="D88" s="5"/>
      <c r="E88" s="5"/>
    </row>
    <row r="89" spans="1:5" x14ac:dyDescent="0.35">
      <c r="A89" s="8"/>
      <c r="B89" s="5"/>
      <c r="C89" s="5"/>
      <c r="D89" s="5"/>
      <c r="E89" s="5"/>
    </row>
    <row r="90" spans="1:5" x14ac:dyDescent="0.35">
      <c r="A90" s="8"/>
      <c r="B90" s="5"/>
      <c r="C90" s="5"/>
      <c r="D90" s="5"/>
      <c r="E90" s="5"/>
    </row>
    <row r="91" spans="1:5" x14ac:dyDescent="0.35">
      <c r="A91" s="8"/>
      <c r="B91" s="5"/>
      <c r="C91" s="5"/>
      <c r="D91" s="5"/>
      <c r="E91" s="5"/>
    </row>
    <row r="92" spans="1:5" x14ac:dyDescent="0.35">
      <c r="A92" s="8"/>
      <c r="B92" s="5"/>
      <c r="C92" s="5"/>
      <c r="D92" s="5"/>
      <c r="E92" s="5"/>
    </row>
    <row r="93" spans="1:5" x14ac:dyDescent="0.35">
      <c r="A93" s="8"/>
      <c r="B93" s="5"/>
      <c r="C93" s="5"/>
      <c r="D93" s="5"/>
      <c r="E93" s="5"/>
    </row>
    <row r="94" spans="1:5" x14ac:dyDescent="0.35">
      <c r="A94" s="8"/>
      <c r="B94" s="5"/>
      <c r="C94" s="5"/>
      <c r="D94" s="5"/>
      <c r="E94" s="5"/>
    </row>
    <row r="95" spans="1:5" x14ac:dyDescent="0.35">
      <c r="A95" s="8"/>
      <c r="B95" s="5"/>
      <c r="C95" s="5"/>
      <c r="D95" s="5"/>
      <c r="E95" s="5"/>
    </row>
    <row r="96" spans="1:5" x14ac:dyDescent="0.35">
      <c r="A96" s="8"/>
      <c r="B96" s="5"/>
      <c r="C96" s="5"/>
      <c r="D96" s="5"/>
      <c r="E96" s="5"/>
    </row>
    <row r="97" spans="1:5" x14ac:dyDescent="0.35">
      <c r="A97" s="8"/>
      <c r="B97" s="5"/>
      <c r="C97" s="5"/>
      <c r="D97" s="5"/>
      <c r="E97" s="5"/>
    </row>
    <row r="98" spans="1:5" x14ac:dyDescent="0.35">
      <c r="A98" s="8"/>
      <c r="B98" s="5"/>
      <c r="C98" s="5"/>
      <c r="D98" s="5"/>
      <c r="E98" s="5"/>
    </row>
    <row r="99" spans="1:5" x14ac:dyDescent="0.35">
      <c r="A99" s="8"/>
      <c r="B99" s="5"/>
      <c r="C99" s="5"/>
      <c r="D99" s="5"/>
      <c r="E99" s="5"/>
    </row>
    <row r="100" spans="1:5" x14ac:dyDescent="0.35">
      <c r="A100" s="8"/>
      <c r="B100" s="5"/>
      <c r="C100" s="5"/>
      <c r="D100" s="5"/>
      <c r="E100" s="5"/>
    </row>
    <row r="101" spans="1:5" x14ac:dyDescent="0.35">
      <c r="A101" s="8"/>
      <c r="B101" s="5"/>
      <c r="C101" s="5"/>
      <c r="D101" s="5"/>
      <c r="E101" s="5"/>
    </row>
    <row r="102" spans="1:5" x14ac:dyDescent="0.35">
      <c r="A102" s="8"/>
      <c r="B102" s="5"/>
      <c r="C102" s="5"/>
      <c r="D102" s="5"/>
      <c r="E102" s="5"/>
    </row>
    <row r="103" spans="1:5" x14ac:dyDescent="0.35">
      <c r="A103" s="8"/>
      <c r="B103" s="5"/>
      <c r="C103" s="5"/>
      <c r="D103" s="5"/>
      <c r="E103" s="5"/>
    </row>
    <row r="104" spans="1:5" x14ac:dyDescent="0.35">
      <c r="A104" s="8"/>
      <c r="B104" s="5"/>
      <c r="C104" s="5"/>
      <c r="D104" s="5"/>
      <c r="E104" s="5"/>
    </row>
    <row r="105" spans="1:5" x14ac:dyDescent="0.35">
      <c r="A105" s="8"/>
      <c r="B105" s="5"/>
      <c r="C105" s="5"/>
      <c r="D105" s="5"/>
      <c r="E105" s="5"/>
    </row>
    <row r="106" spans="1:5" x14ac:dyDescent="0.35">
      <c r="A106" s="8"/>
      <c r="B106" s="5"/>
      <c r="C106" s="5"/>
      <c r="D106" s="5"/>
      <c r="E106" s="5"/>
    </row>
    <row r="107" spans="1:5" x14ac:dyDescent="0.35">
      <c r="A107" s="8"/>
      <c r="B107" s="5"/>
      <c r="C107" s="5"/>
      <c r="D107" s="5"/>
      <c r="E107" s="5"/>
    </row>
    <row r="108" spans="1:5" x14ac:dyDescent="0.35">
      <c r="A108" s="8"/>
      <c r="B108" s="5"/>
      <c r="C108" s="5"/>
      <c r="D108" s="5"/>
      <c r="E108" s="5"/>
    </row>
    <row r="109" spans="1:5" x14ac:dyDescent="0.35">
      <c r="A109" s="8"/>
      <c r="B109" s="5"/>
      <c r="C109" s="5"/>
      <c r="D109" s="5"/>
      <c r="E109" s="5"/>
    </row>
    <row r="110" spans="1:5" x14ac:dyDescent="0.35">
      <c r="A110" s="8"/>
      <c r="B110" s="5"/>
      <c r="C110" s="5"/>
      <c r="D110" s="5"/>
      <c r="E110" s="5"/>
    </row>
    <row r="111" spans="1:5" x14ac:dyDescent="0.35">
      <c r="A111" s="8"/>
      <c r="B111" s="5"/>
      <c r="C111" s="5"/>
      <c r="D111" s="5"/>
      <c r="E111" s="5"/>
    </row>
    <row r="112" spans="1:5" x14ac:dyDescent="0.35">
      <c r="A112" s="8"/>
      <c r="B112" s="5"/>
      <c r="C112" s="5"/>
      <c r="D112" s="5"/>
      <c r="E112" s="5"/>
    </row>
    <row r="113" spans="1:5" x14ac:dyDescent="0.35">
      <c r="A113" s="8"/>
      <c r="B113" s="5"/>
      <c r="C113" s="5"/>
      <c r="D113" s="5"/>
      <c r="E113" s="5"/>
    </row>
    <row r="114" spans="1:5" x14ac:dyDescent="0.35">
      <c r="A114" s="8"/>
      <c r="B114" s="5"/>
      <c r="C114" s="5"/>
      <c r="D114" s="5"/>
      <c r="E114" s="5"/>
    </row>
    <row r="115" spans="1:5" x14ac:dyDescent="0.35">
      <c r="A115" s="8"/>
      <c r="B115" s="5"/>
      <c r="C115" s="5"/>
      <c r="D115" s="5"/>
      <c r="E115" s="5"/>
    </row>
    <row r="116" spans="1:5" x14ac:dyDescent="0.35">
      <c r="A116" s="8"/>
      <c r="B116" s="5"/>
      <c r="C116" s="5"/>
      <c r="D116" s="5"/>
      <c r="E116" s="5"/>
    </row>
    <row r="117" spans="1:5" x14ac:dyDescent="0.35">
      <c r="A117" s="8"/>
      <c r="B117" s="5"/>
      <c r="C117" s="5"/>
      <c r="D117" s="5"/>
      <c r="E117" s="5"/>
    </row>
    <row r="118" spans="1:5" x14ac:dyDescent="0.35">
      <c r="A118" s="8"/>
      <c r="B118" s="5"/>
      <c r="C118" s="5"/>
      <c r="D118" s="5"/>
      <c r="E118" s="5"/>
    </row>
    <row r="119" spans="1:5" x14ac:dyDescent="0.35">
      <c r="A119" s="8"/>
      <c r="B119" s="5"/>
      <c r="C119" s="5"/>
      <c r="D119" s="5"/>
      <c r="E119" s="5"/>
    </row>
    <row r="120" spans="1:5" x14ac:dyDescent="0.35">
      <c r="A120" s="8"/>
      <c r="B120" s="5"/>
      <c r="C120" s="5"/>
      <c r="D120" s="5"/>
      <c r="E120" s="5"/>
    </row>
    <row r="121" spans="1:5" x14ac:dyDescent="0.35">
      <c r="A121" s="8"/>
      <c r="B121" s="5"/>
      <c r="C121" s="5"/>
      <c r="D121" s="5"/>
      <c r="E121" s="5"/>
    </row>
    <row r="122" spans="1:5" x14ac:dyDescent="0.35">
      <c r="A122" s="8"/>
      <c r="B122" s="5"/>
      <c r="C122" s="5"/>
      <c r="D122" s="5"/>
      <c r="E122" s="5"/>
    </row>
    <row r="123" spans="1:5" x14ac:dyDescent="0.35">
      <c r="A123" s="8"/>
      <c r="B123" s="5"/>
      <c r="C123" s="5"/>
      <c r="D123" s="5"/>
      <c r="E123" s="5"/>
    </row>
    <row r="124" spans="1:5" x14ac:dyDescent="0.35">
      <c r="A124" s="8"/>
      <c r="B124" s="5"/>
      <c r="C124" s="5"/>
      <c r="D124" s="5"/>
      <c r="E124" s="5"/>
    </row>
    <row r="125" spans="1:5" x14ac:dyDescent="0.35">
      <c r="A125" s="8"/>
      <c r="B125" s="5"/>
      <c r="C125" s="5"/>
      <c r="D125" s="5"/>
      <c r="E125" s="5"/>
    </row>
    <row r="126" spans="1:5" x14ac:dyDescent="0.35">
      <c r="A126" s="8"/>
      <c r="B126" s="5"/>
      <c r="C126" s="5"/>
      <c r="D126" s="5"/>
      <c r="E126" s="5"/>
    </row>
    <row r="127" spans="1:5" x14ac:dyDescent="0.35">
      <c r="A127" s="8"/>
      <c r="B127" s="5"/>
      <c r="C127" s="5"/>
      <c r="D127" s="5"/>
      <c r="E127" s="5"/>
    </row>
    <row r="128" spans="1:5" x14ac:dyDescent="0.35">
      <c r="A128" s="8"/>
      <c r="B128" s="5"/>
      <c r="C128" s="5"/>
      <c r="D128" s="5"/>
      <c r="E128" s="5"/>
    </row>
    <row r="129" spans="1:5" x14ac:dyDescent="0.35">
      <c r="A129" s="8"/>
      <c r="B129" s="5"/>
      <c r="C129" s="5"/>
      <c r="D129" s="5"/>
      <c r="E129" s="5"/>
    </row>
    <row r="130" spans="1:5" x14ac:dyDescent="0.35">
      <c r="A130" s="8"/>
      <c r="B130" s="5"/>
      <c r="C130" s="5"/>
      <c r="D130" s="5"/>
      <c r="E130" s="5"/>
    </row>
    <row r="131" spans="1:5" x14ac:dyDescent="0.35">
      <c r="A131" s="8"/>
      <c r="B131" s="5"/>
      <c r="C131" s="5"/>
      <c r="D131" s="5"/>
      <c r="E131" s="5"/>
    </row>
    <row r="132" spans="1:5" x14ac:dyDescent="0.35">
      <c r="A132" s="8"/>
      <c r="B132" s="5"/>
      <c r="C132" s="5"/>
      <c r="D132" s="5"/>
      <c r="E132" s="5"/>
    </row>
    <row r="133" spans="1:5" x14ac:dyDescent="0.35">
      <c r="A133" s="8"/>
      <c r="B133" s="5"/>
      <c r="C133" s="5"/>
      <c r="D133" s="5"/>
      <c r="E133" s="5"/>
    </row>
    <row r="134" spans="1:5" x14ac:dyDescent="0.35">
      <c r="A134" s="8"/>
      <c r="B134" s="5"/>
      <c r="C134" s="5"/>
      <c r="D134" s="5"/>
      <c r="E134" s="5"/>
    </row>
    <row r="135" spans="1:5" x14ac:dyDescent="0.35">
      <c r="A135" s="8"/>
      <c r="B135" s="5"/>
      <c r="C135" s="5"/>
      <c r="D135" s="5"/>
      <c r="E135" s="5"/>
    </row>
    <row r="136" spans="1:5" x14ac:dyDescent="0.35">
      <c r="A136" s="8"/>
      <c r="B136" s="5"/>
      <c r="C136" s="5"/>
      <c r="D136" s="5"/>
      <c r="E136" s="5"/>
    </row>
    <row r="137" spans="1:5" x14ac:dyDescent="0.35">
      <c r="A137" s="8"/>
      <c r="B137" s="5"/>
      <c r="C137" s="5"/>
      <c r="D137" s="5"/>
      <c r="E137" s="5"/>
    </row>
    <row r="138" spans="1:5" x14ac:dyDescent="0.35">
      <c r="A138" s="8"/>
      <c r="B138" s="5"/>
      <c r="C138" s="5"/>
      <c r="D138" s="5"/>
      <c r="E138" s="5"/>
    </row>
    <row r="139" spans="1:5" x14ac:dyDescent="0.35">
      <c r="A139" s="8"/>
      <c r="B139" s="5"/>
      <c r="C139" s="5"/>
      <c r="D139" s="5"/>
      <c r="E139" s="5"/>
    </row>
    <row r="140" spans="1:5" x14ac:dyDescent="0.35">
      <c r="A140" s="8"/>
      <c r="B140" s="5"/>
      <c r="C140" s="5"/>
      <c r="D140" s="5"/>
      <c r="E140" s="5"/>
    </row>
    <row r="141" spans="1:5" x14ac:dyDescent="0.35">
      <c r="A141" s="8"/>
      <c r="B141" s="5"/>
      <c r="C141" s="5"/>
      <c r="D141" s="5"/>
      <c r="E141" s="5"/>
    </row>
    <row r="142" spans="1:5" x14ac:dyDescent="0.35">
      <c r="A142" s="8"/>
      <c r="B142" s="5"/>
      <c r="C142" s="5"/>
      <c r="D142" s="5"/>
      <c r="E142" s="5"/>
    </row>
    <row r="143" spans="1:5" x14ac:dyDescent="0.35">
      <c r="A143" s="8"/>
      <c r="B143" s="5"/>
      <c r="C143" s="5"/>
      <c r="D143" s="5"/>
      <c r="E143" s="5"/>
    </row>
    <row r="144" spans="1:5" x14ac:dyDescent="0.35">
      <c r="A144" s="8"/>
      <c r="B144" s="5"/>
      <c r="C144" s="5"/>
      <c r="D144" s="5"/>
      <c r="E144" s="5"/>
    </row>
    <row r="145" spans="1:5" x14ac:dyDescent="0.35">
      <c r="A145" s="8"/>
      <c r="B145" s="5"/>
      <c r="C145" s="5"/>
      <c r="D145" s="5"/>
      <c r="E145" s="5"/>
    </row>
    <row r="146" spans="1:5" x14ac:dyDescent="0.35">
      <c r="A146" s="8"/>
      <c r="B146" s="5"/>
      <c r="C146" s="5"/>
      <c r="D146" s="5"/>
      <c r="E146" s="5"/>
    </row>
    <row r="147" spans="1:5" x14ac:dyDescent="0.35">
      <c r="A147" s="8"/>
      <c r="B147" s="5"/>
      <c r="C147" s="5"/>
      <c r="D147" s="5"/>
      <c r="E147" s="5"/>
    </row>
    <row r="148" spans="1:5" x14ac:dyDescent="0.35">
      <c r="A148" s="8"/>
      <c r="B148" s="5"/>
      <c r="C148" s="5"/>
      <c r="D148" s="5"/>
      <c r="E148" s="5"/>
    </row>
    <row r="149" spans="1:5" x14ac:dyDescent="0.35">
      <c r="A149" s="8"/>
      <c r="B149" s="5"/>
      <c r="C149" s="5"/>
      <c r="D149" s="5"/>
      <c r="E149" s="5"/>
    </row>
    <row r="150" spans="1:5" x14ac:dyDescent="0.35">
      <c r="A150" s="8"/>
      <c r="B150" s="5"/>
      <c r="C150" s="5"/>
      <c r="D150" s="5"/>
      <c r="E150" s="5"/>
    </row>
    <row r="151" spans="1:5" x14ac:dyDescent="0.35">
      <c r="A151" s="8"/>
      <c r="B151" s="5"/>
      <c r="C151" s="5"/>
      <c r="D151" s="5"/>
      <c r="E151" s="5"/>
    </row>
    <row r="152" spans="1:5" x14ac:dyDescent="0.35">
      <c r="A152" s="8"/>
      <c r="B152" s="5"/>
      <c r="C152" s="5"/>
      <c r="D152" s="5"/>
      <c r="E152" s="5"/>
    </row>
    <row r="153" spans="1:5" x14ac:dyDescent="0.35">
      <c r="A153" s="8"/>
      <c r="B153" s="5"/>
      <c r="C153" s="5"/>
      <c r="D153" s="5"/>
      <c r="E153" s="5"/>
    </row>
    <row r="154" spans="1:5" x14ac:dyDescent="0.35">
      <c r="A154" s="8"/>
      <c r="B154" s="5"/>
      <c r="C154" s="5"/>
      <c r="D154" s="5"/>
      <c r="E154" s="5"/>
    </row>
    <row r="155" spans="1:5" x14ac:dyDescent="0.35">
      <c r="A155" s="8"/>
      <c r="B155" s="5"/>
      <c r="C155" s="5"/>
      <c r="D155" s="5"/>
      <c r="E155" s="5"/>
    </row>
    <row r="156" spans="1:5" x14ac:dyDescent="0.35">
      <c r="A156" s="8"/>
      <c r="B156" s="5"/>
      <c r="C156" s="5"/>
      <c r="D156" s="5"/>
      <c r="E156" s="5"/>
    </row>
    <row r="157" spans="1:5" x14ac:dyDescent="0.35">
      <c r="A157" s="8"/>
      <c r="B157" s="5"/>
      <c r="C157" s="5"/>
      <c r="D157" s="5"/>
      <c r="E157" s="5"/>
    </row>
    <row r="158" spans="1:5" x14ac:dyDescent="0.35">
      <c r="A158" s="8"/>
      <c r="B158" s="5"/>
      <c r="C158" s="5"/>
      <c r="D158" s="5"/>
      <c r="E158" s="5"/>
    </row>
    <row r="159" spans="1:5" x14ac:dyDescent="0.35">
      <c r="A159" s="8"/>
      <c r="B159" s="5"/>
      <c r="C159" s="5"/>
      <c r="D159" s="5"/>
      <c r="E159" s="5"/>
    </row>
    <row r="160" spans="1:5" x14ac:dyDescent="0.35">
      <c r="A160" s="8"/>
      <c r="B160" s="5"/>
      <c r="C160" s="5"/>
      <c r="D160" s="5"/>
      <c r="E160" s="5"/>
    </row>
    <row r="161" spans="1:5" x14ac:dyDescent="0.35">
      <c r="A161" s="8"/>
      <c r="B161" s="5"/>
      <c r="C161" s="5"/>
      <c r="D161" s="5"/>
      <c r="E161" s="5"/>
    </row>
    <row r="162" spans="1:5" x14ac:dyDescent="0.35">
      <c r="A162" s="8"/>
      <c r="B162" s="5"/>
      <c r="C162" s="5"/>
      <c r="D162" s="5"/>
      <c r="E162" s="5"/>
    </row>
    <row r="163" spans="1:5" x14ac:dyDescent="0.35">
      <c r="A163" s="8"/>
      <c r="B163" s="5"/>
      <c r="C163" s="5"/>
      <c r="D163" s="5"/>
      <c r="E163" s="5"/>
    </row>
    <row r="164" spans="1:5" x14ac:dyDescent="0.35">
      <c r="A164" s="8"/>
      <c r="B164" s="5"/>
      <c r="C164" s="5"/>
      <c r="D164" s="5"/>
      <c r="E164" s="5"/>
    </row>
    <row r="165" spans="1:5" x14ac:dyDescent="0.35">
      <c r="A165" s="8"/>
      <c r="B165" s="5"/>
      <c r="C165" s="5"/>
      <c r="D165" s="5"/>
      <c r="E165" s="5"/>
    </row>
    <row r="166" spans="1:5" x14ac:dyDescent="0.35">
      <c r="A166" s="8"/>
      <c r="B166" s="5"/>
      <c r="C166" s="5"/>
      <c r="D166" s="5"/>
      <c r="E166" s="5"/>
    </row>
    <row r="167" spans="1:5" x14ac:dyDescent="0.35">
      <c r="A167" s="8"/>
      <c r="B167" s="5"/>
      <c r="C167" s="5"/>
      <c r="D167" s="5"/>
      <c r="E167" s="5"/>
    </row>
    <row r="168" spans="1:5" x14ac:dyDescent="0.35">
      <c r="A168" s="8"/>
      <c r="B168" s="5"/>
      <c r="C168" s="5"/>
      <c r="D168" s="5"/>
      <c r="E168" s="5"/>
    </row>
    <row r="169" spans="1:5" x14ac:dyDescent="0.35">
      <c r="A169" s="8"/>
      <c r="B169" s="5"/>
      <c r="C169" s="5"/>
      <c r="D169" s="5"/>
      <c r="E169" s="5"/>
    </row>
    <row r="170" spans="1:5" x14ac:dyDescent="0.35">
      <c r="A170" s="8"/>
      <c r="B170" s="5"/>
      <c r="C170" s="5"/>
      <c r="D170" s="5"/>
      <c r="E170" s="5"/>
    </row>
    <row r="171" spans="1:5" x14ac:dyDescent="0.35">
      <c r="A171" s="8"/>
      <c r="B171" s="5"/>
      <c r="C171" s="5"/>
      <c r="D171" s="5"/>
      <c r="E171" s="5"/>
    </row>
    <row r="172" spans="1:5" x14ac:dyDescent="0.35">
      <c r="A172" s="8"/>
      <c r="B172" s="5"/>
      <c r="C172" s="5"/>
      <c r="D172" s="5"/>
      <c r="E172" s="5"/>
    </row>
    <row r="173" spans="1:5" x14ac:dyDescent="0.35">
      <c r="A173" s="8"/>
      <c r="B173" s="5"/>
      <c r="C173" s="5"/>
      <c r="D173" s="5"/>
      <c r="E173" s="5"/>
    </row>
    <row r="174" spans="1:5" x14ac:dyDescent="0.35">
      <c r="A174" s="8"/>
      <c r="B174" s="5"/>
      <c r="C174" s="5"/>
      <c r="D174" s="5"/>
      <c r="E174" s="5"/>
    </row>
    <row r="175" spans="1:5" x14ac:dyDescent="0.35">
      <c r="A175" s="8"/>
      <c r="B175" s="5"/>
      <c r="C175" s="5"/>
      <c r="D175" s="5"/>
      <c r="E175" s="5"/>
    </row>
    <row r="176" spans="1:5" x14ac:dyDescent="0.35">
      <c r="A176" s="8"/>
      <c r="B176" s="5"/>
      <c r="C176" s="5"/>
      <c r="D176" s="5"/>
      <c r="E176" s="5"/>
    </row>
    <row r="177" spans="1:5" x14ac:dyDescent="0.35">
      <c r="A177" s="8"/>
      <c r="B177" s="5"/>
      <c r="C177" s="5"/>
      <c r="D177" s="5"/>
      <c r="E177" s="5"/>
    </row>
    <row r="178" spans="1:5" x14ac:dyDescent="0.35">
      <c r="A178" s="8"/>
      <c r="B178" s="5"/>
      <c r="C178" s="5"/>
      <c r="D178" s="5"/>
      <c r="E178" s="5"/>
    </row>
    <row r="179" spans="1:5" x14ac:dyDescent="0.35">
      <c r="A179" s="8"/>
      <c r="B179" s="5"/>
      <c r="C179" s="5"/>
      <c r="D179" s="5"/>
      <c r="E179" s="5"/>
    </row>
    <row r="180" spans="1:5" x14ac:dyDescent="0.35">
      <c r="A180" s="8"/>
      <c r="B180" s="5"/>
      <c r="C180" s="5"/>
      <c r="D180" s="5"/>
      <c r="E180" s="5"/>
    </row>
    <row r="181" spans="1:5" x14ac:dyDescent="0.35">
      <c r="A181" s="8"/>
      <c r="B181" s="5"/>
      <c r="C181" s="5"/>
      <c r="D181" s="5"/>
      <c r="E181" s="5"/>
    </row>
    <row r="182" spans="1:5" x14ac:dyDescent="0.35">
      <c r="A182" s="8"/>
      <c r="B182" s="5"/>
      <c r="C182" s="5"/>
      <c r="D182" s="5"/>
      <c r="E182" s="5"/>
    </row>
    <row r="183" spans="1:5" x14ac:dyDescent="0.35">
      <c r="A183" s="8"/>
      <c r="B183" s="5"/>
      <c r="C183" s="5"/>
      <c r="D183" s="5"/>
      <c r="E183" s="5"/>
    </row>
  </sheetData>
  <printOptions horizontalCentered="1" verticalCentered="1"/>
  <pageMargins left="0.5" right="0.5" top="0.5" bottom="0.5" header="0.5" footer="0.5"/>
  <pageSetup orientation="portrait" r:id="rId1"/>
  <headerFooter>
    <oddFooter>&amp;RSchedule A-13
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EC735-D68D-4643-A433-9A897F1916D6}">
  <sheetPr codeName="Sheet37">
    <pageSetUpPr fitToPage="1"/>
  </sheetPr>
  <dimension ref="A1:IA149"/>
  <sheetViews>
    <sheetView tabSelected="1" zoomScale="70" zoomScaleNormal="70" zoomScaleSheetLayoutView="120" workbookViewId="0">
      <selection activeCell="A23" sqref="A23"/>
    </sheetView>
  </sheetViews>
  <sheetFormatPr defaultColWidth="9.58203125" defaultRowHeight="20.149999999999999" customHeight="1" x14ac:dyDescent="0.35"/>
  <cols>
    <col min="1" max="1" width="29.25" style="9" customWidth="1"/>
    <col min="2" max="10" width="18.83203125" customWidth="1"/>
    <col min="11" max="11" width="2.5" hidden="1" customWidth="1"/>
    <col min="12" max="12" width="12.08203125" hidden="1" customWidth="1"/>
    <col min="13" max="13" width="0" hidden="1" customWidth="1"/>
    <col min="14" max="14" width="9.75" hidden="1" customWidth="1"/>
    <col min="15" max="16" width="0" hidden="1" customWidth="1"/>
  </cols>
  <sheetData>
    <row r="1" spans="1:235" s="2" customFormat="1" ht="21" x14ac:dyDescent="0.55000000000000004">
      <c r="A1" s="286" t="str">
        <f>Page_1!A1</f>
        <v>IRR 2023 Sch A-13 F.Z25.XLSM</v>
      </c>
      <c r="B1" s="261"/>
      <c r="C1" s="263"/>
      <c r="D1" s="263"/>
      <c r="E1" s="268"/>
      <c r="F1" s="263"/>
      <c r="G1" s="263"/>
      <c r="H1" s="252"/>
      <c r="I1" s="252"/>
      <c r="J1" s="252"/>
      <c r="K1" s="1"/>
      <c r="L1" s="1"/>
      <c r="M1" s="1"/>
      <c r="N1" s="1"/>
    </row>
    <row r="2" spans="1:235" s="2" customFormat="1" ht="21" x14ac:dyDescent="0.55000000000000004">
      <c r="A2" s="265" t="str">
        <f>Page_1!A2</f>
        <v>09/20/2022</v>
      </c>
      <c r="B2" s="262"/>
      <c r="C2" s="268"/>
      <c r="D2" s="268"/>
      <c r="E2" s="268"/>
      <c r="F2" s="268"/>
      <c r="G2" s="268"/>
      <c r="H2" s="268"/>
      <c r="I2" s="268"/>
      <c r="J2" s="268"/>
      <c r="K2" s="1"/>
      <c r="L2" s="1"/>
      <c r="M2" s="1"/>
      <c r="N2" s="1"/>
    </row>
    <row r="3" spans="1:235" s="2" customFormat="1" ht="21" x14ac:dyDescent="0.55000000000000004">
      <c r="A3" s="286" t="str">
        <f>Page_1!A3</f>
        <v>CENTRAL VALLEY PROJECT</v>
      </c>
      <c r="B3" s="262"/>
      <c r="C3" s="268"/>
      <c r="D3" s="268"/>
      <c r="E3" s="268"/>
      <c r="F3" s="268"/>
      <c r="G3" s="268"/>
      <c r="H3" s="268"/>
      <c r="I3" s="268"/>
      <c r="J3" s="268"/>
      <c r="K3" s="1"/>
      <c r="L3" s="1"/>
      <c r="M3" s="1"/>
      <c r="N3" s="1"/>
    </row>
    <row r="4" spans="1:235" s="2" customFormat="1" ht="84" x14ac:dyDescent="0.55000000000000004">
      <c r="A4" s="286" t="str">
        <f>Page_1!A4</f>
        <v>SCHEDULE OF HISTORICAL (1981-2021) &amp; PROJECTED (2022-2030) IRRIGATION WATER DELIVERIES (IN ACRE FEET)</v>
      </c>
      <c r="B4" s="262"/>
      <c r="C4" s="268"/>
      <c r="D4" s="268"/>
      <c r="E4" s="268"/>
      <c r="F4" s="268"/>
      <c r="G4" s="268"/>
      <c r="H4" s="268"/>
      <c r="I4" s="268"/>
      <c r="J4" s="268"/>
      <c r="K4" s="1"/>
      <c r="L4" s="1"/>
      <c r="M4" s="1"/>
      <c r="N4" s="1"/>
    </row>
    <row r="5" spans="1:235" s="2" customFormat="1" ht="64" customHeight="1" x14ac:dyDescent="0.55000000000000004">
      <c r="A5" s="286" t="str">
        <f>Page_1!A5</f>
        <v>FOR CALCULATION OF INDIVIDUAL CONTRACTOR PRORATED CONSTRUCTION COSTS AND RATE</v>
      </c>
      <c r="B5" s="261"/>
      <c r="C5" s="262"/>
      <c r="D5" s="262"/>
      <c r="E5" s="262"/>
      <c r="F5" s="262"/>
      <c r="G5" s="262"/>
      <c r="H5" s="252"/>
      <c r="I5" s="252"/>
      <c r="J5" s="252"/>
      <c r="K5" s="1"/>
      <c r="L5" s="1" t="s">
        <v>140</v>
      </c>
      <c r="M5" s="1"/>
      <c r="N5" s="1" t="s">
        <v>140</v>
      </c>
    </row>
    <row r="6" spans="1:235" s="46" customFormat="1" ht="84" x14ac:dyDescent="0.55000000000000004">
      <c r="A6" s="460" t="s">
        <v>461</v>
      </c>
      <c r="B6" s="461" t="s">
        <v>467</v>
      </c>
      <c r="C6" s="462" t="s">
        <v>466</v>
      </c>
      <c r="D6" s="463" t="s">
        <v>465</v>
      </c>
      <c r="E6" s="464" t="s">
        <v>468</v>
      </c>
      <c r="F6" s="465" t="s">
        <v>469</v>
      </c>
      <c r="G6" s="462" t="s">
        <v>462</v>
      </c>
      <c r="H6" s="463" t="s">
        <v>463</v>
      </c>
      <c r="I6" s="466" t="s">
        <v>470</v>
      </c>
      <c r="J6" s="467" t="s">
        <v>464</v>
      </c>
      <c r="K6" s="94"/>
      <c r="L6" s="94" t="s">
        <v>144</v>
      </c>
      <c r="M6" s="94"/>
      <c r="N6" s="94" t="s">
        <v>144</v>
      </c>
    </row>
    <row r="7" spans="1:235" ht="17.5" x14ac:dyDescent="0.45">
      <c r="A7" s="269" t="s">
        <v>42</v>
      </c>
      <c r="B7" s="303">
        <v>0</v>
      </c>
      <c r="C7" s="242">
        <f>1510-Page_25!H12</f>
        <v>1249.655172413793</v>
      </c>
      <c r="D7" s="242">
        <v>34882</v>
      </c>
      <c r="E7" s="242">
        <v>1620</v>
      </c>
      <c r="F7" s="242">
        <f t="shared" ref="F7:F38" si="0">SUM(D7:E7)</f>
        <v>36502</v>
      </c>
      <c r="G7" s="242">
        <v>28744</v>
      </c>
      <c r="H7" s="242">
        <v>89142</v>
      </c>
      <c r="I7" s="242">
        <v>12400</v>
      </c>
      <c r="J7" s="242">
        <f t="shared" ref="J7:J38" si="1">SUM(H7:I7)</f>
        <v>101542</v>
      </c>
      <c r="K7" s="63"/>
      <c r="L7" s="63">
        <f t="shared" ref="L7:L38" si="2">+C7+D7+G7+H7</f>
        <v>154017.6551724138</v>
      </c>
      <c r="M7" s="57"/>
      <c r="N7" s="63">
        <f t="shared" ref="N7:N38" si="3">+B7+E7+I7</f>
        <v>14020</v>
      </c>
      <c r="O7" s="48"/>
      <c r="P7" s="48"/>
      <c r="Q7" s="48"/>
      <c r="R7" s="48"/>
      <c r="S7" s="48"/>
      <c r="T7" s="48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</row>
    <row r="8" spans="1:235" ht="17.5" x14ac:dyDescent="0.45">
      <c r="A8" s="269" t="s">
        <v>43</v>
      </c>
      <c r="B8" s="303">
        <v>0</v>
      </c>
      <c r="C8" s="242">
        <f>1450-Page_25!H13</f>
        <v>1200</v>
      </c>
      <c r="D8" s="242">
        <v>32747</v>
      </c>
      <c r="E8" s="242">
        <v>25520</v>
      </c>
      <c r="F8" s="242">
        <f t="shared" si="0"/>
        <v>58267</v>
      </c>
      <c r="G8" s="242">
        <v>27915</v>
      </c>
      <c r="H8" s="242">
        <v>25644</v>
      </c>
      <c r="I8" s="242">
        <v>288724</v>
      </c>
      <c r="J8" s="242">
        <f t="shared" si="1"/>
        <v>314368</v>
      </c>
      <c r="K8" s="63"/>
      <c r="L8" s="63">
        <f t="shared" si="2"/>
        <v>87506</v>
      </c>
      <c r="M8" s="57"/>
      <c r="N8" s="63">
        <f t="shared" si="3"/>
        <v>314244</v>
      </c>
      <c r="O8" s="48"/>
      <c r="P8" s="48"/>
      <c r="Q8" s="48"/>
      <c r="R8" s="48"/>
      <c r="S8" s="48"/>
      <c r="T8" s="48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  <c r="IA8" s="49"/>
    </row>
    <row r="9" spans="1:235" ht="17.5" x14ac:dyDescent="0.45">
      <c r="A9" s="269" t="s">
        <v>44</v>
      </c>
      <c r="B9" s="303">
        <v>0</v>
      </c>
      <c r="C9" s="242">
        <f>1086-Page_25!H14</f>
        <v>898.75862068965512</v>
      </c>
      <c r="D9" s="242">
        <v>23514</v>
      </c>
      <c r="E9" s="242">
        <v>22278</v>
      </c>
      <c r="F9" s="242">
        <f t="shared" si="0"/>
        <v>45792</v>
      </c>
      <c r="G9" s="242">
        <v>20346</v>
      </c>
      <c r="H9" s="242">
        <v>37829</v>
      </c>
      <c r="I9" s="242">
        <v>244302</v>
      </c>
      <c r="J9" s="242">
        <f t="shared" si="1"/>
        <v>282131</v>
      </c>
      <c r="K9" s="63"/>
      <c r="L9" s="63">
        <f t="shared" si="2"/>
        <v>82587.758620689652</v>
      </c>
      <c r="M9" s="57"/>
      <c r="N9" s="63">
        <f t="shared" si="3"/>
        <v>266580</v>
      </c>
      <c r="O9" s="48"/>
      <c r="P9" s="48"/>
      <c r="Q9" s="48"/>
      <c r="R9" s="48"/>
      <c r="S9" s="48"/>
      <c r="T9" s="48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</row>
    <row r="10" spans="1:235" ht="17.5" x14ac:dyDescent="0.45">
      <c r="A10" s="269" t="s">
        <v>45</v>
      </c>
      <c r="B10" s="303">
        <v>0</v>
      </c>
      <c r="C10" s="242">
        <f>1742-Page_25!H15</f>
        <v>1441.655172413793</v>
      </c>
      <c r="D10" s="242">
        <v>46266</v>
      </c>
      <c r="E10" s="242">
        <v>10560</v>
      </c>
      <c r="F10" s="242">
        <f t="shared" si="0"/>
        <v>56826</v>
      </c>
      <c r="G10" s="242">
        <v>45088</v>
      </c>
      <c r="H10" s="242">
        <v>100527</v>
      </c>
      <c r="I10" s="242">
        <v>111754</v>
      </c>
      <c r="J10" s="242">
        <f t="shared" si="1"/>
        <v>212281</v>
      </c>
      <c r="K10" s="63"/>
      <c r="L10" s="63">
        <f t="shared" si="2"/>
        <v>193322.6551724138</v>
      </c>
      <c r="M10" s="57"/>
      <c r="N10" s="63">
        <f t="shared" si="3"/>
        <v>122314</v>
      </c>
      <c r="O10" s="48"/>
      <c r="P10" s="48"/>
      <c r="Q10" s="48"/>
      <c r="R10" s="48"/>
      <c r="S10" s="48"/>
      <c r="T10" s="48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</row>
    <row r="11" spans="1:235" ht="17.5" x14ac:dyDescent="0.45">
      <c r="A11" s="269" t="s">
        <v>46</v>
      </c>
      <c r="B11" s="303">
        <v>0</v>
      </c>
      <c r="C11" s="242">
        <f>1450-Page_25!H16</f>
        <v>1200</v>
      </c>
      <c r="D11" s="242">
        <v>31531</v>
      </c>
      <c r="E11" s="242">
        <v>2640</v>
      </c>
      <c r="F11" s="242">
        <f t="shared" si="0"/>
        <v>34171</v>
      </c>
      <c r="G11" s="242">
        <v>26777</v>
      </c>
      <c r="H11" s="242">
        <v>80838</v>
      </c>
      <c r="I11" s="242">
        <v>25805</v>
      </c>
      <c r="J11" s="242">
        <f t="shared" si="1"/>
        <v>106643</v>
      </c>
      <c r="K11" s="63"/>
      <c r="L11" s="63">
        <f t="shared" si="2"/>
        <v>140346</v>
      </c>
      <c r="M11" s="57"/>
      <c r="N11" s="63">
        <f t="shared" si="3"/>
        <v>28445</v>
      </c>
      <c r="O11" s="48"/>
      <c r="P11" s="48"/>
      <c r="Q11" s="48"/>
      <c r="R11" s="48"/>
      <c r="S11" s="48"/>
      <c r="T11" s="48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</row>
    <row r="12" spans="1:235" ht="17.5" x14ac:dyDescent="0.45">
      <c r="A12" s="269" t="s">
        <v>47</v>
      </c>
      <c r="B12" s="303">
        <v>0</v>
      </c>
      <c r="C12" s="242">
        <f>1450-Page_25!H17</f>
        <v>1200</v>
      </c>
      <c r="D12" s="242">
        <v>32321</v>
      </c>
      <c r="E12" s="242">
        <v>22880</v>
      </c>
      <c r="F12" s="242">
        <f t="shared" si="0"/>
        <v>55201</v>
      </c>
      <c r="G12" s="242">
        <v>26985</v>
      </c>
      <c r="H12" s="242">
        <v>14482</v>
      </c>
      <c r="I12" s="242">
        <v>248879</v>
      </c>
      <c r="J12" s="242">
        <f t="shared" si="1"/>
        <v>263361</v>
      </c>
      <c r="K12" s="63"/>
      <c r="L12" s="63">
        <f t="shared" si="2"/>
        <v>74988</v>
      </c>
      <c r="M12" s="57"/>
      <c r="N12" s="63">
        <f t="shared" si="3"/>
        <v>271759</v>
      </c>
      <c r="O12" s="48"/>
      <c r="P12" s="48"/>
      <c r="Q12" s="48"/>
      <c r="R12" s="48"/>
      <c r="S12" s="48"/>
      <c r="T12" s="48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</row>
    <row r="13" spans="1:235" ht="17.5" x14ac:dyDescent="0.45">
      <c r="A13" s="269" t="s">
        <v>48</v>
      </c>
      <c r="B13" s="303">
        <v>0</v>
      </c>
      <c r="C13" s="242">
        <f>1309-Page_25!H18</f>
        <v>1083.3103448275863</v>
      </c>
      <c r="D13" s="242">
        <v>27644</v>
      </c>
      <c r="E13" s="248">
        <v>0</v>
      </c>
      <c r="F13" s="242">
        <f t="shared" si="0"/>
        <v>27644</v>
      </c>
      <c r="G13" s="242">
        <v>28555</v>
      </c>
      <c r="H13" s="242">
        <v>95804</v>
      </c>
      <c r="I13" s="242">
        <v>4760</v>
      </c>
      <c r="J13" s="242">
        <f t="shared" si="1"/>
        <v>100564</v>
      </c>
      <c r="K13" s="63"/>
      <c r="L13" s="63">
        <f t="shared" si="2"/>
        <v>153086.31034482759</v>
      </c>
      <c r="M13" s="57"/>
      <c r="N13" s="63">
        <f t="shared" si="3"/>
        <v>4760</v>
      </c>
      <c r="O13" s="48"/>
      <c r="P13" s="48"/>
      <c r="Q13" s="48"/>
      <c r="R13" s="48"/>
      <c r="S13" s="48"/>
      <c r="T13" s="48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</row>
    <row r="14" spans="1:235" ht="17.5" x14ac:dyDescent="0.45">
      <c r="A14" s="269" t="s">
        <v>49</v>
      </c>
      <c r="B14" s="303">
        <v>0</v>
      </c>
      <c r="C14" s="242">
        <f>1142-Page_25!H19</f>
        <v>945.10344827586209</v>
      </c>
      <c r="D14" s="242">
        <v>35548</v>
      </c>
      <c r="E14" s="248">
        <v>0</v>
      </c>
      <c r="F14" s="242">
        <f t="shared" si="0"/>
        <v>35548</v>
      </c>
      <c r="G14" s="242">
        <v>27195</v>
      </c>
      <c r="H14" s="242">
        <v>49578</v>
      </c>
      <c r="I14" s="248">
        <v>0</v>
      </c>
      <c r="J14" s="242">
        <f t="shared" si="1"/>
        <v>49578</v>
      </c>
      <c r="K14" s="63"/>
      <c r="L14" s="63">
        <f t="shared" si="2"/>
        <v>113266.10344827586</v>
      </c>
      <c r="M14" s="57"/>
      <c r="N14" s="63">
        <f t="shared" si="3"/>
        <v>0</v>
      </c>
      <c r="O14" s="48"/>
      <c r="P14" s="48"/>
      <c r="Q14" s="48"/>
      <c r="R14" s="48"/>
      <c r="S14" s="48"/>
      <c r="T14" s="48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</row>
    <row r="15" spans="1:235" ht="17.5" x14ac:dyDescent="0.45">
      <c r="A15" s="269" t="s">
        <v>50</v>
      </c>
      <c r="B15" s="303">
        <v>0</v>
      </c>
      <c r="C15" s="242">
        <f>1298-Page_25!H20</f>
        <v>1074.2068965517242</v>
      </c>
      <c r="D15" s="242">
        <v>32121</v>
      </c>
      <c r="E15" s="248">
        <v>0</v>
      </c>
      <c r="F15" s="242">
        <f t="shared" si="0"/>
        <v>32121</v>
      </c>
      <c r="G15" s="242">
        <v>28217</v>
      </c>
      <c r="H15" s="242">
        <v>59265</v>
      </c>
      <c r="I15" s="248">
        <v>0</v>
      </c>
      <c r="J15" s="242">
        <f t="shared" si="1"/>
        <v>59265</v>
      </c>
      <c r="K15" s="63"/>
      <c r="L15" s="63">
        <f t="shared" si="2"/>
        <v>120677.20689655172</v>
      </c>
      <c r="M15" s="57"/>
      <c r="N15" s="63">
        <f t="shared" si="3"/>
        <v>0</v>
      </c>
      <c r="O15" s="48"/>
      <c r="P15" s="48"/>
      <c r="Q15" s="48"/>
      <c r="R15" s="48"/>
      <c r="S15" s="48"/>
      <c r="T15" s="48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</row>
    <row r="16" spans="1:235" ht="17.5" x14ac:dyDescent="0.45">
      <c r="A16" s="269" t="s">
        <v>51</v>
      </c>
      <c r="B16" s="303">
        <v>0</v>
      </c>
      <c r="C16" s="242">
        <f>1144-Page_25!H21</f>
        <v>946.75862068965512</v>
      </c>
      <c r="D16" s="242">
        <v>23917</v>
      </c>
      <c r="E16" s="248">
        <v>0</v>
      </c>
      <c r="F16" s="242">
        <f t="shared" si="0"/>
        <v>23917</v>
      </c>
      <c r="G16" s="242">
        <v>19730</v>
      </c>
      <c r="H16" s="242">
        <v>48069</v>
      </c>
      <c r="I16" s="248">
        <v>0</v>
      </c>
      <c r="J16" s="242">
        <f t="shared" si="1"/>
        <v>48069</v>
      </c>
      <c r="K16" s="63"/>
      <c r="L16" s="63">
        <f t="shared" si="2"/>
        <v>92662.758620689652</v>
      </c>
      <c r="M16" s="57"/>
      <c r="N16" s="63">
        <f t="shared" si="3"/>
        <v>0</v>
      </c>
      <c r="O16" s="48"/>
      <c r="P16" s="48"/>
      <c r="Q16" s="48"/>
      <c r="R16" s="48"/>
      <c r="S16" s="48"/>
      <c r="T16" s="48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</row>
    <row r="17" spans="1:235" ht="17.5" x14ac:dyDescent="0.45">
      <c r="A17" s="269" t="s">
        <v>52</v>
      </c>
      <c r="B17" s="303">
        <v>0</v>
      </c>
      <c r="C17" s="242">
        <f>1258-Page_25!H22</f>
        <v>1041.1034482758621</v>
      </c>
      <c r="D17" s="242">
        <v>29570</v>
      </c>
      <c r="E17" s="248">
        <v>0</v>
      </c>
      <c r="F17" s="242">
        <f t="shared" si="0"/>
        <v>29570</v>
      </c>
      <c r="G17" s="242">
        <v>23916</v>
      </c>
      <c r="H17" s="242">
        <v>61014</v>
      </c>
      <c r="I17" s="248">
        <v>0</v>
      </c>
      <c r="J17" s="242">
        <f t="shared" si="1"/>
        <v>61014</v>
      </c>
      <c r="K17" s="63"/>
      <c r="L17" s="63">
        <f t="shared" si="2"/>
        <v>115541.10344827586</v>
      </c>
      <c r="M17" s="57"/>
      <c r="N17" s="63">
        <f t="shared" si="3"/>
        <v>0</v>
      </c>
      <c r="O17" s="48"/>
      <c r="P17" s="48"/>
      <c r="Q17" s="48"/>
      <c r="R17" s="48"/>
      <c r="S17" s="48"/>
      <c r="T17" s="48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</row>
    <row r="18" spans="1:235" ht="17.5" x14ac:dyDescent="0.45">
      <c r="A18" s="269" t="s">
        <v>53</v>
      </c>
      <c r="B18" s="303">
        <v>0</v>
      </c>
      <c r="C18" s="242">
        <f>1396-Page_25!H23</f>
        <v>1155.3103448275863</v>
      </c>
      <c r="D18" s="242">
        <v>31047</v>
      </c>
      <c r="E18" s="248">
        <v>0</v>
      </c>
      <c r="F18" s="242">
        <f t="shared" si="0"/>
        <v>31047</v>
      </c>
      <c r="G18" s="242">
        <v>35335</v>
      </c>
      <c r="H18" s="242">
        <v>46787</v>
      </c>
      <c r="I18" s="248">
        <v>0</v>
      </c>
      <c r="J18" s="242">
        <f t="shared" si="1"/>
        <v>46787</v>
      </c>
      <c r="K18" s="63"/>
      <c r="L18" s="63">
        <f t="shared" si="2"/>
        <v>114324.31034482759</v>
      </c>
      <c r="M18" s="57"/>
      <c r="N18" s="63">
        <f t="shared" si="3"/>
        <v>0</v>
      </c>
      <c r="O18" s="48"/>
      <c r="P18" s="48"/>
      <c r="Q18" s="48"/>
      <c r="R18" s="48"/>
      <c r="S18" s="48"/>
      <c r="T18" s="48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  <c r="IA18" s="49"/>
    </row>
    <row r="19" spans="1:235" ht="17.5" x14ac:dyDescent="0.45">
      <c r="A19" s="269" t="s">
        <v>54</v>
      </c>
      <c r="B19" s="303">
        <v>0</v>
      </c>
      <c r="C19" s="242">
        <f>1450-Page_25!H24</f>
        <v>1200</v>
      </c>
      <c r="D19" s="242">
        <v>34712</v>
      </c>
      <c r="E19" s="242">
        <v>19800</v>
      </c>
      <c r="F19" s="242">
        <f t="shared" si="0"/>
        <v>54512</v>
      </c>
      <c r="G19" s="242">
        <v>18462</v>
      </c>
      <c r="H19" s="242">
        <v>61564</v>
      </c>
      <c r="I19" s="242">
        <v>214200</v>
      </c>
      <c r="J19" s="242">
        <f t="shared" si="1"/>
        <v>275764</v>
      </c>
      <c r="K19" s="63"/>
      <c r="L19" s="63">
        <f t="shared" si="2"/>
        <v>115938</v>
      </c>
      <c r="M19" s="57"/>
      <c r="N19" s="63">
        <f t="shared" si="3"/>
        <v>234000</v>
      </c>
      <c r="O19" s="48"/>
      <c r="P19" s="48"/>
      <c r="Q19" s="48"/>
      <c r="R19" s="48"/>
      <c r="S19" s="48"/>
      <c r="T19" s="48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</row>
    <row r="20" spans="1:235" ht="17.5" x14ac:dyDescent="0.45">
      <c r="A20" s="269" t="s">
        <v>55</v>
      </c>
      <c r="B20" s="303">
        <v>0</v>
      </c>
      <c r="C20" s="242">
        <f>1160-Page_25!H25</f>
        <v>960</v>
      </c>
      <c r="D20" s="242">
        <v>26329</v>
      </c>
      <c r="E20" s="248">
        <v>0</v>
      </c>
      <c r="F20" s="242">
        <f t="shared" si="0"/>
        <v>26329</v>
      </c>
      <c r="G20" s="242">
        <v>33984</v>
      </c>
      <c r="H20" s="242">
        <v>52678</v>
      </c>
      <c r="I20" s="243">
        <v>0</v>
      </c>
      <c r="J20" s="242">
        <f t="shared" si="1"/>
        <v>52678</v>
      </c>
      <c r="K20" s="63"/>
      <c r="L20" s="63">
        <f t="shared" si="2"/>
        <v>113951</v>
      </c>
      <c r="M20" s="57"/>
      <c r="N20" s="63">
        <f t="shared" si="3"/>
        <v>0</v>
      </c>
      <c r="O20" s="48"/>
      <c r="P20" s="48"/>
      <c r="Q20" s="48"/>
      <c r="R20" s="48"/>
      <c r="S20" s="48"/>
      <c r="T20" s="48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  <c r="IA20" s="49"/>
    </row>
    <row r="21" spans="1:235" ht="17.5" x14ac:dyDescent="0.45">
      <c r="A21" s="269" t="s">
        <v>56</v>
      </c>
      <c r="B21" s="303">
        <v>0</v>
      </c>
      <c r="C21" s="242">
        <f>1586-Page_25!H26</f>
        <v>1312.5517241379309</v>
      </c>
      <c r="D21" s="242">
        <v>25302</v>
      </c>
      <c r="E21" s="242">
        <v>22000</v>
      </c>
      <c r="F21" s="242">
        <f t="shared" si="0"/>
        <v>47302</v>
      </c>
      <c r="G21" s="242">
        <v>17116</v>
      </c>
      <c r="H21" s="242">
        <v>11725</v>
      </c>
      <c r="I21" s="242">
        <v>164462</v>
      </c>
      <c r="J21" s="242">
        <f t="shared" si="1"/>
        <v>176187</v>
      </c>
      <c r="K21" s="63"/>
      <c r="L21" s="63">
        <f t="shared" si="2"/>
        <v>55455.551724137928</v>
      </c>
      <c r="M21" s="57"/>
      <c r="N21" s="63">
        <f t="shared" si="3"/>
        <v>186462</v>
      </c>
      <c r="O21" s="48"/>
      <c r="P21" s="48"/>
      <c r="Q21" s="48"/>
      <c r="R21" s="48"/>
      <c r="S21" s="48"/>
      <c r="T21" s="48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</row>
    <row r="22" spans="1:235" ht="17.5" x14ac:dyDescent="0.45">
      <c r="A22" s="269" t="s">
        <v>57</v>
      </c>
      <c r="B22" s="303">
        <v>0</v>
      </c>
      <c r="C22" s="242">
        <f>1314-Page_25!H27</f>
        <v>1087.4482758620688</v>
      </c>
      <c r="D22" s="242">
        <v>34169</v>
      </c>
      <c r="E22" s="242">
        <v>12760</v>
      </c>
      <c r="F22" s="242">
        <f t="shared" si="0"/>
        <v>46929</v>
      </c>
      <c r="G22" s="242">
        <v>32403</v>
      </c>
      <c r="H22" s="242">
        <v>107632</v>
      </c>
      <c r="I22" s="242">
        <v>211263</v>
      </c>
      <c r="J22" s="242">
        <f t="shared" si="1"/>
        <v>318895</v>
      </c>
      <c r="K22" s="57"/>
      <c r="L22" s="63">
        <f t="shared" si="2"/>
        <v>175291.44827586209</v>
      </c>
      <c r="M22" s="57"/>
      <c r="N22" s="63">
        <f t="shared" si="3"/>
        <v>224023</v>
      </c>
      <c r="O22" s="48"/>
      <c r="P22" s="48"/>
      <c r="Q22" s="48"/>
      <c r="R22" s="48"/>
      <c r="S22" s="48"/>
      <c r="T22" s="48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  <c r="IA22" s="49"/>
    </row>
    <row r="23" spans="1:235" ht="17.5" x14ac:dyDescent="0.45">
      <c r="A23" s="269" t="s">
        <v>58</v>
      </c>
      <c r="B23" s="303">
        <v>0</v>
      </c>
      <c r="C23" s="242">
        <f>2274-Page_25!H28</f>
        <v>1881.9310344827586</v>
      </c>
      <c r="D23" s="242">
        <v>31112</v>
      </c>
      <c r="E23" s="242">
        <v>12142</v>
      </c>
      <c r="F23" s="242">
        <f t="shared" si="0"/>
        <v>43254</v>
      </c>
      <c r="G23" s="242">
        <v>31115</v>
      </c>
      <c r="H23" s="242">
        <v>63700</v>
      </c>
      <c r="I23" s="242">
        <v>136963</v>
      </c>
      <c r="J23" s="242">
        <f t="shared" si="1"/>
        <v>200663</v>
      </c>
      <c r="K23" s="63"/>
      <c r="L23" s="63">
        <f t="shared" si="2"/>
        <v>127808.93103448275</v>
      </c>
      <c r="M23" s="57"/>
      <c r="N23" s="63">
        <f t="shared" si="3"/>
        <v>149105</v>
      </c>
      <c r="O23" s="79"/>
      <c r="P23" s="48"/>
      <c r="Q23" s="79"/>
      <c r="R23" s="48"/>
      <c r="S23" s="79"/>
      <c r="T23" s="48"/>
      <c r="U23" s="91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</row>
    <row r="24" spans="1:235" ht="17.5" x14ac:dyDescent="0.45">
      <c r="A24" s="269" t="s">
        <v>59</v>
      </c>
      <c r="B24" s="303">
        <v>0</v>
      </c>
      <c r="C24" s="242">
        <f>538-Page_25!H29</f>
        <v>445.24137931034483</v>
      </c>
      <c r="D24" s="242">
        <v>28692</v>
      </c>
      <c r="E24" s="242">
        <v>3500</v>
      </c>
      <c r="F24" s="242">
        <f t="shared" si="0"/>
        <v>32192</v>
      </c>
      <c r="G24" s="242">
        <v>7517</v>
      </c>
      <c r="H24" s="242">
        <v>17689</v>
      </c>
      <c r="I24" s="242">
        <v>43608</v>
      </c>
      <c r="J24" s="242">
        <f t="shared" si="1"/>
        <v>61297</v>
      </c>
      <c r="K24" s="63"/>
      <c r="L24" s="63">
        <f t="shared" si="2"/>
        <v>54343.241379310348</v>
      </c>
      <c r="M24" s="57"/>
      <c r="N24" s="63">
        <f t="shared" si="3"/>
        <v>47108</v>
      </c>
      <c r="O24" s="79"/>
      <c r="P24" s="48"/>
      <c r="Q24" s="79"/>
      <c r="R24" s="48"/>
      <c r="S24" s="79"/>
      <c r="T24" s="48"/>
      <c r="U24" s="91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  <c r="IA24" s="49"/>
    </row>
    <row r="25" spans="1:235" ht="17.5" x14ac:dyDescent="0.45">
      <c r="A25" s="269" t="s">
        <v>111</v>
      </c>
      <c r="B25" s="245">
        <v>0</v>
      </c>
      <c r="C25" s="242">
        <f>1408-Page_25!H30</f>
        <v>1165.2413793103449</v>
      </c>
      <c r="D25" s="242">
        <v>37417</v>
      </c>
      <c r="E25" s="242">
        <v>4400</v>
      </c>
      <c r="F25" s="242">
        <f t="shared" si="0"/>
        <v>41817</v>
      </c>
      <c r="G25" s="242">
        <v>35447</v>
      </c>
      <c r="H25" s="242">
        <v>87194</v>
      </c>
      <c r="I25" s="242">
        <v>48346</v>
      </c>
      <c r="J25" s="242">
        <f t="shared" si="1"/>
        <v>135540</v>
      </c>
      <c r="K25" s="63"/>
      <c r="L25" s="63">
        <f t="shared" si="2"/>
        <v>161223.24137931035</v>
      </c>
      <c r="M25" s="57"/>
      <c r="N25" s="63">
        <f t="shared" si="3"/>
        <v>52746</v>
      </c>
      <c r="O25" s="79"/>
      <c r="P25" s="48"/>
      <c r="Q25" s="79"/>
      <c r="R25" s="48"/>
      <c r="S25" s="79"/>
      <c r="T25" s="48"/>
      <c r="U25" s="91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</row>
    <row r="26" spans="1:235" ht="17.5" x14ac:dyDescent="0.45">
      <c r="A26" s="269" t="s">
        <v>60</v>
      </c>
      <c r="B26" s="245">
        <v>0</v>
      </c>
      <c r="C26" s="242">
        <f>174-Page_25!H31</f>
        <v>144</v>
      </c>
      <c r="D26" s="242">
        <v>32183</v>
      </c>
      <c r="E26" s="242">
        <v>9688</v>
      </c>
      <c r="F26" s="242">
        <f t="shared" si="0"/>
        <v>41871</v>
      </c>
      <c r="G26" s="242">
        <v>28321</v>
      </c>
      <c r="H26" s="242">
        <v>59591</v>
      </c>
      <c r="I26" s="242">
        <v>140157</v>
      </c>
      <c r="J26" s="242">
        <f t="shared" si="1"/>
        <v>199748</v>
      </c>
      <c r="K26" s="63"/>
      <c r="L26" s="63">
        <f t="shared" si="2"/>
        <v>120239</v>
      </c>
      <c r="M26" s="57"/>
      <c r="N26" s="63">
        <f t="shared" si="3"/>
        <v>149845</v>
      </c>
      <c r="O26" s="79"/>
      <c r="P26" s="48"/>
      <c r="Q26" s="79"/>
      <c r="R26" s="48"/>
      <c r="S26" s="79"/>
      <c r="T26" s="48"/>
      <c r="U26" s="91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</row>
    <row r="27" spans="1:235" ht="17.5" x14ac:dyDescent="0.45">
      <c r="A27" s="270" t="s">
        <v>61</v>
      </c>
      <c r="B27" s="245">
        <v>0</v>
      </c>
      <c r="C27" s="243">
        <f>0-Page_25!H32</f>
        <v>0</v>
      </c>
      <c r="D27" s="242">
        <v>37773</v>
      </c>
      <c r="E27" s="242">
        <v>1100</v>
      </c>
      <c r="F27" s="242">
        <f t="shared" si="0"/>
        <v>38873</v>
      </c>
      <c r="G27" s="242">
        <v>28841</v>
      </c>
      <c r="H27" s="242">
        <v>71199</v>
      </c>
      <c r="I27" s="242">
        <v>10684</v>
      </c>
      <c r="J27" s="242">
        <f t="shared" si="1"/>
        <v>81883</v>
      </c>
      <c r="K27" s="63"/>
      <c r="L27" s="63">
        <f t="shared" si="2"/>
        <v>137813</v>
      </c>
      <c r="M27" s="57"/>
      <c r="N27" s="63">
        <f t="shared" si="3"/>
        <v>11784</v>
      </c>
      <c r="O27" s="79"/>
      <c r="P27" s="48"/>
      <c r="Q27" s="79"/>
      <c r="R27" s="48"/>
      <c r="S27" s="79"/>
      <c r="T27" s="48"/>
      <c r="U27" s="91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</row>
    <row r="28" spans="1:235" ht="17.5" x14ac:dyDescent="0.45">
      <c r="A28" s="270" t="s">
        <v>62</v>
      </c>
      <c r="B28" s="245">
        <v>0</v>
      </c>
      <c r="C28" s="243">
        <f>0-Page_25!H33</f>
        <v>0</v>
      </c>
      <c r="D28" s="242">
        <v>30345</v>
      </c>
      <c r="E28" s="242">
        <v>2011</v>
      </c>
      <c r="F28" s="242">
        <f t="shared" si="0"/>
        <v>32356</v>
      </c>
      <c r="G28" s="242">
        <v>26873</v>
      </c>
      <c r="H28" s="242">
        <v>58967</v>
      </c>
      <c r="I28" s="242">
        <v>27736</v>
      </c>
      <c r="J28" s="242">
        <f t="shared" si="1"/>
        <v>86703</v>
      </c>
      <c r="K28" s="63"/>
      <c r="L28" s="63">
        <f t="shared" si="2"/>
        <v>116185</v>
      </c>
      <c r="M28" s="57"/>
      <c r="N28" s="63">
        <f t="shared" si="3"/>
        <v>29747</v>
      </c>
      <c r="O28" s="79"/>
      <c r="P28" s="48"/>
      <c r="Q28" s="79"/>
      <c r="R28" s="48"/>
      <c r="S28" s="79"/>
      <c r="T28" s="48"/>
      <c r="U28" s="91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  <c r="HX28" s="49"/>
      <c r="HY28" s="49"/>
      <c r="HZ28" s="49"/>
      <c r="IA28" s="49"/>
    </row>
    <row r="29" spans="1:235" ht="17.5" x14ac:dyDescent="0.45">
      <c r="A29" s="270" t="s">
        <v>63</v>
      </c>
      <c r="B29" s="245">
        <v>0</v>
      </c>
      <c r="C29" s="243">
        <f>0-Page_25!H34</f>
        <v>0</v>
      </c>
      <c r="D29" s="242">
        <v>32315</v>
      </c>
      <c r="E29" s="242">
        <v>5480</v>
      </c>
      <c r="F29" s="242">
        <f t="shared" si="0"/>
        <v>37795</v>
      </c>
      <c r="G29" s="242">
        <v>26187</v>
      </c>
      <c r="H29" s="242">
        <v>42965</v>
      </c>
      <c r="I29" s="242">
        <v>61135</v>
      </c>
      <c r="J29" s="242">
        <f t="shared" si="1"/>
        <v>104100</v>
      </c>
      <c r="K29" s="63"/>
      <c r="L29" s="63">
        <f t="shared" si="2"/>
        <v>101467</v>
      </c>
      <c r="M29" s="57"/>
      <c r="N29" s="63">
        <f t="shared" si="3"/>
        <v>66615</v>
      </c>
      <c r="O29" s="79"/>
      <c r="P29" s="48"/>
      <c r="Q29" s="79"/>
      <c r="R29" s="48"/>
      <c r="S29" s="79"/>
      <c r="T29" s="48"/>
      <c r="U29" s="91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  <c r="IA29" s="49"/>
    </row>
    <row r="30" spans="1:235" ht="17.5" x14ac:dyDescent="0.45">
      <c r="A30" s="270" t="s">
        <v>64</v>
      </c>
      <c r="B30" s="245">
        <v>0</v>
      </c>
      <c r="C30" s="242">
        <f>3926-Page_25!H35</f>
        <v>3249.1034482758619</v>
      </c>
      <c r="D30" s="242">
        <v>33559</v>
      </c>
      <c r="E30" s="242">
        <v>1760</v>
      </c>
      <c r="F30" s="242">
        <f t="shared" si="0"/>
        <v>35319</v>
      </c>
      <c r="G30" s="242">
        <v>29033</v>
      </c>
      <c r="H30" s="242">
        <v>76682</v>
      </c>
      <c r="I30" s="242">
        <v>30819</v>
      </c>
      <c r="J30" s="242">
        <f t="shared" si="1"/>
        <v>107501</v>
      </c>
      <c r="K30" s="63"/>
      <c r="L30" s="63">
        <f t="shared" si="2"/>
        <v>142523.10344827586</v>
      </c>
      <c r="M30" s="57"/>
      <c r="N30" s="63">
        <f t="shared" si="3"/>
        <v>32579</v>
      </c>
      <c r="O30" s="48"/>
      <c r="P30" s="48"/>
      <c r="Q30" s="48"/>
      <c r="R30" s="48"/>
      <c r="S30" s="48"/>
      <c r="T30" s="48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</row>
    <row r="31" spans="1:235" ht="17.5" x14ac:dyDescent="0.45">
      <c r="A31" s="270" t="s">
        <v>65</v>
      </c>
      <c r="B31" s="245">
        <v>0</v>
      </c>
      <c r="C31" s="242">
        <f>579-Page_25!H36</f>
        <v>479.17241379310343</v>
      </c>
      <c r="D31" s="242">
        <v>29152</v>
      </c>
      <c r="E31" s="242">
        <v>6620</v>
      </c>
      <c r="F31" s="242">
        <f t="shared" si="0"/>
        <v>35772</v>
      </c>
      <c r="G31" s="242">
        <v>25070</v>
      </c>
      <c r="H31" s="242">
        <v>58860</v>
      </c>
      <c r="I31" s="242">
        <v>156377</v>
      </c>
      <c r="J31" s="242">
        <f t="shared" si="1"/>
        <v>215237</v>
      </c>
      <c r="K31" s="63"/>
      <c r="L31" s="63">
        <f t="shared" si="2"/>
        <v>113561.1724137931</v>
      </c>
      <c r="M31" s="57"/>
      <c r="N31" s="63">
        <f t="shared" si="3"/>
        <v>162997</v>
      </c>
      <c r="O31" s="48"/>
      <c r="P31" s="48"/>
      <c r="Q31" s="48"/>
      <c r="R31" s="48"/>
      <c r="S31" s="48"/>
      <c r="T31" s="48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  <c r="IA31" s="49"/>
    </row>
    <row r="32" spans="1:235" ht="17.5" x14ac:dyDescent="0.45">
      <c r="A32" s="270" t="s">
        <v>66</v>
      </c>
      <c r="B32" s="245">
        <v>0</v>
      </c>
      <c r="C32" s="242">
        <f>2714-Page_25!H37</f>
        <v>2246.0689655172414</v>
      </c>
      <c r="D32" s="242">
        <v>30603</v>
      </c>
      <c r="E32" s="242">
        <v>8156</v>
      </c>
      <c r="F32" s="242">
        <f t="shared" si="0"/>
        <v>38759</v>
      </c>
      <c r="G32" s="242">
        <v>24692</v>
      </c>
      <c r="H32" s="242">
        <v>53641</v>
      </c>
      <c r="I32" s="242">
        <v>148510</v>
      </c>
      <c r="J32" s="242">
        <f t="shared" si="1"/>
        <v>202151</v>
      </c>
      <c r="K32" s="63"/>
      <c r="L32" s="63">
        <f t="shared" si="2"/>
        <v>111182.06896551725</v>
      </c>
      <c r="M32" s="57"/>
      <c r="N32" s="63">
        <f t="shared" si="3"/>
        <v>156666</v>
      </c>
      <c r="O32" s="48"/>
      <c r="P32" s="48"/>
      <c r="Q32" s="48"/>
      <c r="R32" s="48"/>
      <c r="S32" s="48"/>
      <c r="T32" s="48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  <c r="HX32" s="49"/>
      <c r="HY32" s="49"/>
      <c r="HZ32" s="49"/>
      <c r="IA32" s="49"/>
    </row>
    <row r="33" spans="1:235" ht="17.5" x14ac:dyDescent="0.45">
      <c r="A33" s="269" t="s">
        <v>67</v>
      </c>
      <c r="B33" s="245">
        <v>0</v>
      </c>
      <c r="C33" s="242">
        <f>480-Page_25!H38</f>
        <v>397.24137931034483</v>
      </c>
      <c r="D33" s="242">
        <v>24849</v>
      </c>
      <c r="E33" s="242">
        <v>275</v>
      </c>
      <c r="F33" s="242">
        <f t="shared" si="0"/>
        <v>25124</v>
      </c>
      <c r="G33" s="242">
        <v>19967</v>
      </c>
      <c r="H33" s="242">
        <v>45430</v>
      </c>
      <c r="I33" s="242">
        <v>0</v>
      </c>
      <c r="J33" s="242">
        <f t="shared" si="1"/>
        <v>45430</v>
      </c>
      <c r="K33" s="63"/>
      <c r="L33" s="63">
        <f t="shared" si="2"/>
        <v>90643.241379310348</v>
      </c>
      <c r="M33" s="57"/>
      <c r="N33" s="63">
        <f t="shared" si="3"/>
        <v>275</v>
      </c>
      <c r="O33" s="48"/>
      <c r="P33" s="48"/>
      <c r="Q33" s="48"/>
      <c r="R33" s="48"/>
      <c r="S33" s="48"/>
      <c r="T33" s="48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  <c r="IA33" s="49"/>
    </row>
    <row r="34" spans="1:235" ht="17.5" x14ac:dyDescent="0.45">
      <c r="A34" s="269" t="s">
        <v>68</v>
      </c>
      <c r="B34" s="245">
        <v>0</v>
      </c>
      <c r="C34" s="242">
        <f>879-Page_25!H39</f>
        <v>727.44827586206895</v>
      </c>
      <c r="D34" s="242">
        <v>32008</v>
      </c>
      <c r="E34" s="242">
        <v>1100</v>
      </c>
      <c r="F34" s="242">
        <f t="shared" si="0"/>
        <v>33108</v>
      </c>
      <c r="G34" s="242">
        <v>25891</v>
      </c>
      <c r="H34" s="242">
        <v>61465</v>
      </c>
      <c r="I34" s="242">
        <v>11900</v>
      </c>
      <c r="J34" s="242">
        <f t="shared" si="1"/>
        <v>73365</v>
      </c>
      <c r="K34" s="63"/>
      <c r="L34" s="63">
        <f t="shared" si="2"/>
        <v>120091.44827586207</v>
      </c>
      <c r="M34" s="57"/>
      <c r="N34" s="63">
        <f t="shared" si="3"/>
        <v>13000</v>
      </c>
      <c r="O34" s="48"/>
      <c r="P34" s="48"/>
      <c r="Q34" s="48"/>
      <c r="R34" s="48"/>
      <c r="S34" s="48"/>
      <c r="T34" s="48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</row>
    <row r="35" spans="1:235" ht="17.5" x14ac:dyDescent="0.45">
      <c r="A35" s="269" t="s">
        <v>69</v>
      </c>
      <c r="B35" s="245">
        <v>0</v>
      </c>
      <c r="C35" s="242">
        <f>1117-Page_25!H40</f>
        <v>924.41379310344826</v>
      </c>
      <c r="D35" s="242">
        <v>27273</v>
      </c>
      <c r="E35" s="242">
        <v>2163</v>
      </c>
      <c r="F35" s="242">
        <f t="shared" si="0"/>
        <v>29436</v>
      </c>
      <c r="G35" s="242">
        <v>25083</v>
      </c>
      <c r="H35" s="242">
        <v>61416</v>
      </c>
      <c r="I35" s="242">
        <v>57489</v>
      </c>
      <c r="J35" s="242">
        <f t="shared" si="1"/>
        <v>118905</v>
      </c>
      <c r="K35" s="63"/>
      <c r="L35" s="63">
        <f t="shared" si="2"/>
        <v>114696.41379310345</v>
      </c>
      <c r="M35" s="57"/>
      <c r="N35" s="63">
        <f t="shared" si="3"/>
        <v>59652</v>
      </c>
      <c r="O35" s="48"/>
      <c r="P35" s="48"/>
      <c r="Q35" s="48"/>
      <c r="R35" s="48"/>
      <c r="S35" s="48"/>
      <c r="T35" s="48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</row>
    <row r="36" spans="1:235" ht="17.5" x14ac:dyDescent="0.45">
      <c r="A36" s="270" t="s">
        <v>70</v>
      </c>
      <c r="B36" s="245">
        <v>0</v>
      </c>
      <c r="C36" s="242">
        <f>1979-Page_25!H41</f>
        <v>1637.7931034482758</v>
      </c>
      <c r="D36" s="242">
        <v>39175</v>
      </c>
      <c r="E36" s="242">
        <v>12679</v>
      </c>
      <c r="F36" s="242">
        <f t="shared" si="0"/>
        <v>51854</v>
      </c>
      <c r="G36" s="242">
        <v>29730</v>
      </c>
      <c r="H36" s="242">
        <v>60268</v>
      </c>
      <c r="I36" s="242">
        <v>148714</v>
      </c>
      <c r="J36" s="242">
        <f t="shared" si="1"/>
        <v>208982</v>
      </c>
      <c r="K36" s="63"/>
      <c r="L36" s="63">
        <f t="shared" si="2"/>
        <v>130810.79310344828</v>
      </c>
      <c r="M36" s="57"/>
      <c r="N36" s="63">
        <f t="shared" si="3"/>
        <v>161393</v>
      </c>
      <c r="O36" s="48"/>
      <c r="P36" s="48"/>
      <c r="Q36" s="48"/>
      <c r="R36" s="48"/>
      <c r="S36" s="48"/>
      <c r="T36" s="48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  <c r="IA36" s="49"/>
    </row>
    <row r="37" spans="1:235" ht="17.5" x14ac:dyDescent="0.45">
      <c r="A37" s="269" t="s">
        <v>71</v>
      </c>
      <c r="B37" s="245">
        <v>0</v>
      </c>
      <c r="C37" s="242">
        <f>1247-Page_25!H42</f>
        <v>1032</v>
      </c>
      <c r="D37" s="242">
        <v>20355</v>
      </c>
      <c r="E37" s="242">
        <v>12346</v>
      </c>
      <c r="F37" s="242">
        <f t="shared" si="0"/>
        <v>32701</v>
      </c>
      <c r="G37" s="242">
        <v>20451</v>
      </c>
      <c r="H37" s="242">
        <v>13573</v>
      </c>
      <c r="I37" s="242">
        <v>28690</v>
      </c>
      <c r="J37" s="242">
        <f t="shared" si="1"/>
        <v>42263</v>
      </c>
      <c r="K37" s="63"/>
      <c r="L37" s="63">
        <f t="shared" si="2"/>
        <v>55411</v>
      </c>
      <c r="M37" s="57"/>
      <c r="N37" s="63">
        <f t="shared" si="3"/>
        <v>41036</v>
      </c>
      <c r="O37" s="48"/>
      <c r="P37" s="48"/>
      <c r="Q37" s="48"/>
      <c r="R37" s="48"/>
      <c r="S37" s="48"/>
      <c r="T37" s="48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</row>
    <row r="38" spans="1:235" ht="17.5" x14ac:dyDescent="0.45">
      <c r="A38" s="269" t="s">
        <v>72</v>
      </c>
      <c r="B38" s="245">
        <v>0</v>
      </c>
      <c r="C38" s="242">
        <f>541-Page_25!H43</f>
        <v>447.72413793103448</v>
      </c>
      <c r="D38" s="242">
        <v>30288</v>
      </c>
      <c r="E38" s="242">
        <v>565</v>
      </c>
      <c r="F38" s="242">
        <f t="shared" si="0"/>
        <v>30853</v>
      </c>
      <c r="G38" s="242">
        <v>24708</v>
      </c>
      <c r="H38" s="242">
        <v>89018</v>
      </c>
      <c r="I38" s="242">
        <v>2450</v>
      </c>
      <c r="J38" s="242">
        <f t="shared" si="1"/>
        <v>91468</v>
      </c>
      <c r="K38" s="63"/>
      <c r="L38" s="63">
        <f t="shared" si="2"/>
        <v>144461.72413793104</v>
      </c>
      <c r="M38" s="57"/>
      <c r="N38" s="63">
        <f t="shared" si="3"/>
        <v>3015</v>
      </c>
      <c r="O38" s="48"/>
      <c r="P38" s="48"/>
      <c r="Q38" s="48"/>
      <c r="R38" s="48"/>
      <c r="S38" s="48"/>
      <c r="T38" s="48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</row>
    <row r="39" spans="1:235" ht="17.5" x14ac:dyDescent="0.45">
      <c r="A39" s="269" t="s">
        <v>73</v>
      </c>
      <c r="B39" s="243">
        <v>0</v>
      </c>
      <c r="C39" s="242">
        <v>621.51724137931035</v>
      </c>
      <c r="D39" s="242">
        <v>25942</v>
      </c>
      <c r="E39" s="243">
        <v>0</v>
      </c>
      <c r="F39" s="242">
        <f t="shared" ref="F39:F56" si="4">SUM(D39:E39)</f>
        <v>25942</v>
      </c>
      <c r="G39" s="242">
        <v>18759</v>
      </c>
      <c r="H39" s="242">
        <v>46471</v>
      </c>
      <c r="I39" s="242">
        <v>1594</v>
      </c>
      <c r="J39" s="242">
        <f t="shared" ref="J39:J56" si="5">SUM(H39:I39)</f>
        <v>48065</v>
      </c>
      <c r="K39" s="63"/>
      <c r="L39" s="63">
        <f t="shared" ref="L39:L56" si="6">+C39+D39+G39+H39</f>
        <v>91793.517241379304</v>
      </c>
      <c r="M39" s="57"/>
      <c r="N39" s="63">
        <f t="shared" ref="N39:N56" si="7">+B39+E39+I39</f>
        <v>1594</v>
      </c>
      <c r="O39" s="48"/>
      <c r="P39" s="48"/>
      <c r="Q39" s="48"/>
      <c r="R39" s="48"/>
      <c r="S39" s="48"/>
      <c r="T39" s="48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</row>
    <row r="40" spans="1:235" ht="17.5" x14ac:dyDescent="0.45">
      <c r="A40" s="269" t="s">
        <v>74</v>
      </c>
      <c r="B40" s="243">
        <v>0</v>
      </c>
      <c r="C40" s="242">
        <v>153</v>
      </c>
      <c r="D40" s="242">
        <v>6395</v>
      </c>
      <c r="E40" s="243">
        <v>0</v>
      </c>
      <c r="F40" s="242">
        <f t="shared" si="4"/>
        <v>6395</v>
      </c>
      <c r="G40" s="242">
        <v>3458</v>
      </c>
      <c r="H40" s="242">
        <v>1503</v>
      </c>
      <c r="I40" s="243">
        <v>0</v>
      </c>
      <c r="J40" s="242">
        <f t="shared" si="5"/>
        <v>1503</v>
      </c>
      <c r="K40" s="63"/>
      <c r="L40" s="63">
        <f t="shared" si="6"/>
        <v>11509</v>
      </c>
      <c r="M40" s="57"/>
      <c r="N40" s="63">
        <f t="shared" si="7"/>
        <v>0</v>
      </c>
      <c r="O40" s="48"/>
      <c r="P40" s="48"/>
      <c r="Q40" s="48"/>
      <c r="R40" s="48"/>
      <c r="S40" s="48"/>
      <c r="T40" s="48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  <c r="IA40" s="49"/>
    </row>
    <row r="41" spans="1:235" ht="17.5" x14ac:dyDescent="0.45">
      <c r="A41" s="269" t="s">
        <v>75</v>
      </c>
      <c r="B41" s="243">
        <v>0</v>
      </c>
      <c r="C41" s="243">
        <v>0</v>
      </c>
      <c r="D41" s="243">
        <v>0</v>
      </c>
      <c r="E41" s="243">
        <v>0</v>
      </c>
      <c r="F41" s="243">
        <f t="shared" si="4"/>
        <v>0</v>
      </c>
      <c r="G41" s="242">
        <v>40</v>
      </c>
      <c r="H41" s="242">
        <v>2362</v>
      </c>
      <c r="I41" s="243">
        <v>0</v>
      </c>
      <c r="J41" s="242">
        <f t="shared" si="5"/>
        <v>2362</v>
      </c>
      <c r="K41" s="63"/>
      <c r="L41" s="63">
        <f t="shared" si="6"/>
        <v>2402</v>
      </c>
      <c r="M41" s="57"/>
      <c r="N41" s="63">
        <f t="shared" si="7"/>
        <v>0</v>
      </c>
      <c r="O41" s="48"/>
      <c r="P41" s="48"/>
      <c r="Q41" s="48"/>
      <c r="R41" s="48"/>
      <c r="S41" s="48"/>
      <c r="T41" s="48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</row>
    <row r="42" spans="1:235" ht="17.5" x14ac:dyDescent="0.45">
      <c r="A42" s="269" t="s">
        <v>76</v>
      </c>
      <c r="B42" s="242">
        <v>357</v>
      </c>
      <c r="C42" s="242">
        <v>822</v>
      </c>
      <c r="D42" s="242">
        <v>19279</v>
      </c>
      <c r="E42" s="242">
        <v>1570</v>
      </c>
      <c r="F42" s="242">
        <f t="shared" si="4"/>
        <v>20849</v>
      </c>
      <c r="G42" s="242">
        <v>15319</v>
      </c>
      <c r="H42" s="242">
        <v>42949</v>
      </c>
      <c r="I42" s="242">
        <v>16982</v>
      </c>
      <c r="J42" s="242">
        <f t="shared" si="5"/>
        <v>59931</v>
      </c>
      <c r="K42" s="63"/>
      <c r="L42" s="63">
        <f t="shared" si="6"/>
        <v>78369</v>
      </c>
      <c r="M42" s="57"/>
      <c r="N42" s="63">
        <f t="shared" si="7"/>
        <v>18909</v>
      </c>
      <c r="O42" s="48"/>
      <c r="P42" s="48"/>
      <c r="Q42" s="48"/>
      <c r="R42" s="48"/>
      <c r="S42" s="48"/>
      <c r="T42" s="48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  <c r="IA42" s="49"/>
    </row>
    <row r="43" spans="1:235" ht="17.5" x14ac:dyDescent="0.45">
      <c r="A43" s="269" t="s">
        <v>77</v>
      </c>
      <c r="B43" s="242">
        <v>8802</v>
      </c>
      <c r="C43" s="242">
        <v>1229</v>
      </c>
      <c r="D43" s="242">
        <v>22180</v>
      </c>
      <c r="E43" s="242">
        <v>19836</v>
      </c>
      <c r="F43" s="242">
        <f t="shared" si="4"/>
        <v>42016</v>
      </c>
      <c r="G43" s="242">
        <v>25100</v>
      </c>
      <c r="H43" s="242">
        <v>35658</v>
      </c>
      <c r="I43" s="242">
        <v>144791</v>
      </c>
      <c r="J43" s="242">
        <f t="shared" si="5"/>
        <v>180449</v>
      </c>
      <c r="K43" s="63"/>
      <c r="L43" s="63">
        <f t="shared" si="6"/>
        <v>84167</v>
      </c>
      <c r="M43" s="57"/>
      <c r="N43" s="63">
        <f t="shared" si="7"/>
        <v>173429</v>
      </c>
      <c r="O43" s="48"/>
      <c r="P43" s="48"/>
      <c r="Q43" s="48"/>
      <c r="R43" s="48"/>
      <c r="S43" s="48"/>
      <c r="T43" s="48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</row>
    <row r="44" spans="1:235" ht="17.5" x14ac:dyDescent="0.45">
      <c r="A44" s="269" t="s">
        <v>78</v>
      </c>
      <c r="B44" s="242">
        <v>614</v>
      </c>
      <c r="C44" s="242">
        <v>277</v>
      </c>
      <c r="D44" s="242">
        <v>38509</v>
      </c>
      <c r="E44" s="242">
        <v>2701</v>
      </c>
      <c r="F44" s="242">
        <f t="shared" si="4"/>
        <v>41210</v>
      </c>
      <c r="G44" s="242">
        <v>26795</v>
      </c>
      <c r="H44" s="242">
        <v>75138</v>
      </c>
      <c r="I44" s="242">
        <v>35834</v>
      </c>
      <c r="J44" s="242">
        <f t="shared" si="5"/>
        <v>110972</v>
      </c>
      <c r="K44" s="63"/>
      <c r="L44" s="63">
        <f t="shared" si="6"/>
        <v>140719</v>
      </c>
      <c r="M44" s="57"/>
      <c r="N44" s="63">
        <f t="shared" si="7"/>
        <v>39149</v>
      </c>
      <c r="O44" s="48"/>
      <c r="P44" s="48"/>
      <c r="Q44" s="48"/>
      <c r="R44" s="48"/>
      <c r="S44" s="48"/>
      <c r="T44" s="48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  <c r="HX44" s="49"/>
      <c r="HY44" s="49"/>
      <c r="HZ44" s="49"/>
      <c r="IA44" s="49"/>
    </row>
    <row r="45" spans="1:235" ht="17.5" x14ac:dyDescent="0.45">
      <c r="A45" s="269" t="s">
        <v>79</v>
      </c>
      <c r="B45" s="242">
        <v>5046</v>
      </c>
      <c r="C45" s="242">
        <v>1076</v>
      </c>
      <c r="D45" s="242">
        <v>25463</v>
      </c>
      <c r="E45" s="242">
        <v>19762</v>
      </c>
      <c r="F45" s="242">
        <f t="shared" si="4"/>
        <v>45225</v>
      </c>
      <c r="G45" s="242">
        <v>21378</v>
      </c>
      <c r="H45" s="242">
        <v>38137</v>
      </c>
      <c r="I45" s="242">
        <v>151388</v>
      </c>
      <c r="J45" s="242">
        <f t="shared" si="5"/>
        <v>189525</v>
      </c>
      <c r="K45" s="63"/>
      <c r="L45" s="63">
        <f t="shared" si="6"/>
        <v>86054</v>
      </c>
      <c r="M45" s="57"/>
      <c r="N45" s="63">
        <f t="shared" si="7"/>
        <v>176196</v>
      </c>
      <c r="O45" s="48"/>
      <c r="P45" s="48"/>
      <c r="Q45" s="48"/>
      <c r="R45" s="48"/>
      <c r="S45" s="48"/>
      <c r="T45" s="48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  <c r="IA45" s="49"/>
    </row>
    <row r="46" spans="1:235" ht="17.5" x14ac:dyDescent="0.45">
      <c r="A46" s="269" t="s">
        <v>80</v>
      </c>
      <c r="B46" s="242">
        <v>0</v>
      </c>
      <c r="C46" s="242">
        <v>751</v>
      </c>
      <c r="D46" s="242">
        <v>28371</v>
      </c>
      <c r="E46" s="242">
        <v>0</v>
      </c>
      <c r="F46" s="242">
        <f t="shared" si="4"/>
        <v>28371</v>
      </c>
      <c r="G46" s="242">
        <v>20181</v>
      </c>
      <c r="H46" s="242">
        <v>72747</v>
      </c>
      <c r="I46" s="242">
        <v>4330</v>
      </c>
      <c r="J46" s="242">
        <f t="shared" si="5"/>
        <v>77077</v>
      </c>
      <c r="K46" s="63"/>
      <c r="L46" s="63">
        <f t="shared" si="6"/>
        <v>122050</v>
      </c>
      <c r="M46" s="57"/>
      <c r="N46" s="63">
        <f t="shared" si="7"/>
        <v>4330</v>
      </c>
      <c r="O46" s="48"/>
      <c r="P46" s="48"/>
      <c r="Q46" s="48"/>
      <c r="R46" s="48"/>
      <c r="S46" s="48"/>
      <c r="T46" s="48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</row>
    <row r="47" spans="1:235" ht="17.5" x14ac:dyDescent="0.45">
      <c r="A47" s="269" t="s">
        <v>81</v>
      </c>
      <c r="B47" s="242">
        <f>[1]ActualDeliveries!E$120</f>
        <v>0</v>
      </c>
      <c r="C47" s="242">
        <f>[1]ActualDeliveries!E$96-Page_25!H$46</f>
        <v>169</v>
      </c>
      <c r="D47" s="242">
        <f>[1]ActualDeliveries!E$97</f>
        <v>9103</v>
      </c>
      <c r="E47" s="242">
        <f>[1]ActualDeliveries!E$121</f>
        <v>0</v>
      </c>
      <c r="F47" s="242">
        <f t="shared" si="4"/>
        <v>9103</v>
      </c>
      <c r="G47" s="242">
        <f>[1]ActualDeliveries!E$98</f>
        <v>10541</v>
      </c>
      <c r="H47" s="242">
        <f>[1]ActualDeliveries!E$99</f>
        <v>13875</v>
      </c>
      <c r="I47" s="242">
        <f>[1]ActualDeliveries!E$122</f>
        <v>0</v>
      </c>
      <c r="J47" s="242">
        <f t="shared" si="5"/>
        <v>13875</v>
      </c>
      <c r="K47" s="63"/>
      <c r="L47" s="63">
        <f t="shared" si="6"/>
        <v>33688</v>
      </c>
      <c r="M47" s="57"/>
      <c r="N47" s="63">
        <f t="shared" si="7"/>
        <v>0</v>
      </c>
      <c r="O47" s="48"/>
      <c r="P47" s="48"/>
      <c r="Q47" s="48"/>
      <c r="R47" s="48"/>
      <c r="S47" s="48"/>
      <c r="T47" s="48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  <c r="HX47" s="49"/>
      <c r="HY47" s="49"/>
      <c r="HZ47" s="49"/>
      <c r="IA47" s="49"/>
    </row>
    <row r="48" spans="1:235" ht="17.5" x14ac:dyDescent="0.45">
      <c r="A48" s="269" t="s">
        <v>82</v>
      </c>
      <c r="B48" s="242">
        <f t="shared" ref="B48:B55" si="8">+B$58</f>
        <v>2117</v>
      </c>
      <c r="C48" s="242">
        <f t="shared" ref="C48:C55" si="9">+$C$58</f>
        <v>617.71428571428567</v>
      </c>
      <c r="D48" s="242">
        <f t="shared" ref="D48:D55" si="10">+$D$58</f>
        <v>20415</v>
      </c>
      <c r="E48" s="242">
        <f t="shared" ref="E48:E55" si="11">+$E$58</f>
        <v>6267</v>
      </c>
      <c r="F48" s="242">
        <f t="shared" si="4"/>
        <v>26682</v>
      </c>
      <c r="G48" s="242">
        <f t="shared" ref="G48:G55" si="12">+$G$58</f>
        <v>17050.571428571428</v>
      </c>
      <c r="H48" s="242">
        <f t="shared" ref="H48:H55" si="13">+$H$58</f>
        <v>40123.714285714283</v>
      </c>
      <c r="I48" s="242">
        <f t="shared" ref="I48:I55" si="14">+$I$58</f>
        <v>50475</v>
      </c>
      <c r="J48" s="242">
        <f t="shared" si="5"/>
        <v>90598.71428571429</v>
      </c>
      <c r="K48" s="63"/>
      <c r="L48" s="63">
        <f t="shared" si="6"/>
        <v>78207</v>
      </c>
      <c r="M48" s="57"/>
      <c r="N48" s="63">
        <f t="shared" si="7"/>
        <v>58859</v>
      </c>
      <c r="O48" s="48"/>
      <c r="P48" s="48"/>
      <c r="Q48" s="48"/>
      <c r="R48" s="48"/>
      <c r="S48" s="48"/>
      <c r="T48" s="48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  <c r="HX48" s="49"/>
      <c r="HY48" s="49"/>
      <c r="HZ48" s="49"/>
      <c r="IA48" s="49"/>
    </row>
    <row r="49" spans="1:235" ht="17.5" x14ac:dyDescent="0.45">
      <c r="A49" s="269" t="s">
        <v>83</v>
      </c>
      <c r="B49" s="242">
        <f t="shared" si="8"/>
        <v>2117</v>
      </c>
      <c r="C49" s="242">
        <f t="shared" si="9"/>
        <v>617.71428571428567</v>
      </c>
      <c r="D49" s="242">
        <f t="shared" si="10"/>
        <v>20415</v>
      </c>
      <c r="E49" s="242">
        <f t="shared" si="11"/>
        <v>6267</v>
      </c>
      <c r="F49" s="242">
        <f t="shared" si="4"/>
        <v>26682</v>
      </c>
      <c r="G49" s="242">
        <f t="shared" si="12"/>
        <v>17050.571428571428</v>
      </c>
      <c r="H49" s="242">
        <f t="shared" si="13"/>
        <v>40123.714285714283</v>
      </c>
      <c r="I49" s="242">
        <f t="shared" si="14"/>
        <v>50475</v>
      </c>
      <c r="J49" s="242">
        <f t="shared" si="5"/>
        <v>90598.71428571429</v>
      </c>
      <c r="K49" s="63"/>
      <c r="L49" s="63">
        <f t="shared" si="6"/>
        <v>78207</v>
      </c>
      <c r="M49" s="57"/>
      <c r="N49" s="63">
        <f t="shared" si="7"/>
        <v>58859</v>
      </c>
      <c r="O49" s="48"/>
      <c r="P49" s="48"/>
      <c r="Q49" s="48"/>
      <c r="R49" s="48"/>
      <c r="S49" s="48"/>
      <c r="T49" s="48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  <c r="IA49" s="49"/>
    </row>
    <row r="50" spans="1:235" ht="17.5" x14ac:dyDescent="0.45">
      <c r="A50" s="269" t="s">
        <v>84</v>
      </c>
      <c r="B50" s="242">
        <f t="shared" si="8"/>
        <v>2117</v>
      </c>
      <c r="C50" s="242">
        <f t="shared" si="9"/>
        <v>617.71428571428567</v>
      </c>
      <c r="D50" s="242">
        <f t="shared" si="10"/>
        <v>20415</v>
      </c>
      <c r="E50" s="242">
        <f t="shared" si="11"/>
        <v>6267</v>
      </c>
      <c r="F50" s="242">
        <f t="shared" si="4"/>
        <v>26682</v>
      </c>
      <c r="G50" s="242">
        <f t="shared" si="12"/>
        <v>17050.571428571428</v>
      </c>
      <c r="H50" s="242">
        <f t="shared" si="13"/>
        <v>40123.714285714283</v>
      </c>
      <c r="I50" s="242">
        <f t="shared" si="14"/>
        <v>50475</v>
      </c>
      <c r="J50" s="242">
        <f t="shared" si="5"/>
        <v>90598.71428571429</v>
      </c>
      <c r="K50" s="63"/>
      <c r="L50" s="63">
        <f t="shared" si="6"/>
        <v>78207</v>
      </c>
      <c r="M50" s="57"/>
      <c r="N50" s="63">
        <f t="shared" si="7"/>
        <v>58859</v>
      </c>
      <c r="O50" s="48"/>
      <c r="P50" s="48"/>
      <c r="Q50" s="48"/>
      <c r="R50" s="48"/>
      <c r="S50" s="48"/>
      <c r="T50" s="48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</row>
    <row r="51" spans="1:235" ht="17.5" x14ac:dyDescent="0.45">
      <c r="A51" s="269" t="s">
        <v>85</v>
      </c>
      <c r="B51" s="242">
        <f t="shared" si="8"/>
        <v>2117</v>
      </c>
      <c r="C51" s="242">
        <f t="shared" si="9"/>
        <v>617.71428571428567</v>
      </c>
      <c r="D51" s="242">
        <f t="shared" si="10"/>
        <v>20415</v>
      </c>
      <c r="E51" s="242">
        <f t="shared" si="11"/>
        <v>6267</v>
      </c>
      <c r="F51" s="242">
        <f t="shared" si="4"/>
        <v>26682</v>
      </c>
      <c r="G51" s="242">
        <f t="shared" si="12"/>
        <v>17050.571428571428</v>
      </c>
      <c r="H51" s="242">
        <f t="shared" si="13"/>
        <v>40123.714285714283</v>
      </c>
      <c r="I51" s="242">
        <f t="shared" si="14"/>
        <v>50475</v>
      </c>
      <c r="J51" s="242">
        <f t="shared" si="5"/>
        <v>90598.71428571429</v>
      </c>
      <c r="K51" s="63"/>
      <c r="L51" s="63">
        <f t="shared" si="6"/>
        <v>78207</v>
      </c>
      <c r="M51" s="57"/>
      <c r="N51" s="63">
        <f t="shared" si="7"/>
        <v>58859</v>
      </c>
      <c r="O51" s="48"/>
      <c r="P51" s="48"/>
      <c r="Q51" s="48"/>
      <c r="R51" s="48"/>
      <c r="S51" s="48"/>
      <c r="T51" s="48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  <c r="IA51" s="49"/>
    </row>
    <row r="52" spans="1:235" ht="17.5" x14ac:dyDescent="0.45">
      <c r="A52" s="269" t="s">
        <v>86</v>
      </c>
      <c r="B52" s="242">
        <f t="shared" si="8"/>
        <v>2117</v>
      </c>
      <c r="C52" s="242">
        <f t="shared" si="9"/>
        <v>617.71428571428567</v>
      </c>
      <c r="D52" s="242">
        <f t="shared" si="10"/>
        <v>20415</v>
      </c>
      <c r="E52" s="242">
        <f t="shared" si="11"/>
        <v>6267</v>
      </c>
      <c r="F52" s="242">
        <f t="shared" si="4"/>
        <v>26682</v>
      </c>
      <c r="G52" s="242">
        <f t="shared" si="12"/>
        <v>17050.571428571428</v>
      </c>
      <c r="H52" s="242">
        <f t="shared" si="13"/>
        <v>40123.714285714283</v>
      </c>
      <c r="I52" s="242">
        <f t="shared" si="14"/>
        <v>50475</v>
      </c>
      <c r="J52" s="242">
        <f t="shared" si="5"/>
        <v>90598.71428571429</v>
      </c>
      <c r="K52" s="63"/>
      <c r="L52" s="63">
        <f t="shared" si="6"/>
        <v>78207</v>
      </c>
      <c r="M52" s="57"/>
      <c r="N52" s="63">
        <f t="shared" si="7"/>
        <v>58859</v>
      </c>
      <c r="O52" s="48"/>
      <c r="P52" s="48"/>
      <c r="Q52" s="48"/>
      <c r="R52" s="48"/>
      <c r="S52" s="48"/>
      <c r="T52" s="48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  <c r="HX52" s="49"/>
      <c r="HY52" s="49"/>
      <c r="HZ52" s="49"/>
      <c r="IA52" s="49"/>
    </row>
    <row r="53" spans="1:235" ht="17.5" x14ac:dyDescent="0.45">
      <c r="A53" s="269" t="s">
        <v>87</v>
      </c>
      <c r="B53" s="242">
        <f t="shared" si="8"/>
        <v>2117</v>
      </c>
      <c r="C53" s="242">
        <f t="shared" si="9"/>
        <v>617.71428571428567</v>
      </c>
      <c r="D53" s="242">
        <f t="shared" si="10"/>
        <v>20415</v>
      </c>
      <c r="E53" s="242">
        <f t="shared" si="11"/>
        <v>6267</v>
      </c>
      <c r="F53" s="242">
        <f t="shared" si="4"/>
        <v>26682</v>
      </c>
      <c r="G53" s="242">
        <f t="shared" si="12"/>
        <v>17050.571428571428</v>
      </c>
      <c r="H53" s="242">
        <f t="shared" si="13"/>
        <v>40123.714285714283</v>
      </c>
      <c r="I53" s="242">
        <f t="shared" si="14"/>
        <v>50475</v>
      </c>
      <c r="J53" s="242">
        <f t="shared" si="5"/>
        <v>90598.71428571429</v>
      </c>
      <c r="K53" s="63"/>
      <c r="L53" s="63">
        <f t="shared" si="6"/>
        <v>78207</v>
      </c>
      <c r="M53" s="57"/>
      <c r="N53" s="63">
        <f t="shared" si="7"/>
        <v>58859</v>
      </c>
      <c r="O53" s="48"/>
      <c r="P53" s="48"/>
      <c r="Q53" s="48"/>
      <c r="R53" s="48"/>
      <c r="S53" s="48"/>
      <c r="T53" s="48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  <c r="IA53" s="49"/>
    </row>
    <row r="54" spans="1:235" ht="17.5" x14ac:dyDescent="0.45">
      <c r="A54" s="269" t="s">
        <v>88</v>
      </c>
      <c r="B54" s="242">
        <f t="shared" si="8"/>
        <v>2117</v>
      </c>
      <c r="C54" s="242">
        <f t="shared" si="9"/>
        <v>617.71428571428567</v>
      </c>
      <c r="D54" s="242">
        <f t="shared" si="10"/>
        <v>20415</v>
      </c>
      <c r="E54" s="242">
        <f t="shared" si="11"/>
        <v>6267</v>
      </c>
      <c r="F54" s="242">
        <f t="shared" si="4"/>
        <v>26682</v>
      </c>
      <c r="G54" s="242">
        <f t="shared" si="12"/>
        <v>17050.571428571428</v>
      </c>
      <c r="H54" s="242">
        <f t="shared" si="13"/>
        <v>40123.714285714283</v>
      </c>
      <c r="I54" s="242">
        <f t="shared" si="14"/>
        <v>50475</v>
      </c>
      <c r="J54" s="242">
        <f t="shared" si="5"/>
        <v>90598.71428571429</v>
      </c>
      <c r="K54" s="63"/>
      <c r="L54" s="63">
        <f t="shared" si="6"/>
        <v>78207</v>
      </c>
      <c r="M54" s="57"/>
      <c r="N54" s="63">
        <f t="shared" si="7"/>
        <v>58859</v>
      </c>
      <c r="O54" s="48"/>
      <c r="P54" s="48"/>
      <c r="Q54" s="48"/>
      <c r="R54" s="48"/>
      <c r="S54" s="48"/>
      <c r="T54" s="48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</row>
    <row r="55" spans="1:235" ht="17.5" x14ac:dyDescent="0.45">
      <c r="A55" s="269" t="s">
        <v>89</v>
      </c>
      <c r="B55" s="242">
        <f t="shared" si="8"/>
        <v>2117</v>
      </c>
      <c r="C55" s="242">
        <f t="shared" si="9"/>
        <v>617.71428571428567</v>
      </c>
      <c r="D55" s="242">
        <f t="shared" si="10"/>
        <v>20415</v>
      </c>
      <c r="E55" s="242">
        <f t="shared" si="11"/>
        <v>6267</v>
      </c>
      <c r="F55" s="242">
        <f t="shared" si="4"/>
        <v>26682</v>
      </c>
      <c r="G55" s="242">
        <f t="shared" si="12"/>
        <v>17050.571428571428</v>
      </c>
      <c r="H55" s="242">
        <f t="shared" si="13"/>
        <v>40123.714285714283</v>
      </c>
      <c r="I55" s="242">
        <f t="shared" si="14"/>
        <v>50475</v>
      </c>
      <c r="J55" s="242">
        <f t="shared" si="5"/>
        <v>90598.71428571429</v>
      </c>
      <c r="K55" s="63"/>
      <c r="L55" s="63">
        <f t="shared" si="6"/>
        <v>78207</v>
      </c>
      <c r="M55" s="57"/>
      <c r="N55" s="63">
        <f t="shared" si="7"/>
        <v>58859</v>
      </c>
      <c r="O55" s="48"/>
      <c r="P55" s="48"/>
      <c r="Q55" s="48"/>
      <c r="R55" s="48"/>
      <c r="S55" s="48"/>
      <c r="T55" s="48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  <c r="IA55" s="49"/>
    </row>
    <row r="56" spans="1:235" ht="18" thickBot="1" x14ac:dyDescent="0.5">
      <c r="A56" s="269" t="s">
        <v>90</v>
      </c>
      <c r="B56" s="242">
        <f>+B$58</f>
        <v>2117</v>
      </c>
      <c r="C56" s="242">
        <f>+C54</f>
        <v>617.71428571428567</v>
      </c>
      <c r="D56" s="242">
        <f>+D55</f>
        <v>20415</v>
      </c>
      <c r="E56" s="242">
        <f>+E54</f>
        <v>6267</v>
      </c>
      <c r="F56" s="242">
        <f t="shared" si="4"/>
        <v>26682</v>
      </c>
      <c r="G56" s="242">
        <f>+G55</f>
        <v>17050.571428571428</v>
      </c>
      <c r="H56" s="242">
        <f>+H55</f>
        <v>40123.714285714283</v>
      </c>
      <c r="I56" s="242">
        <f>+I55</f>
        <v>50475</v>
      </c>
      <c r="J56" s="242">
        <f t="shared" si="5"/>
        <v>90598.71428571429</v>
      </c>
      <c r="K56" s="63"/>
      <c r="L56" s="63">
        <f t="shared" si="6"/>
        <v>78207</v>
      </c>
      <c r="M56" s="57"/>
      <c r="N56" s="63">
        <f t="shared" si="7"/>
        <v>58859</v>
      </c>
      <c r="O56" s="48"/>
      <c r="P56" s="48"/>
      <c r="Q56" s="48"/>
      <c r="R56" s="48"/>
      <c r="S56" s="48"/>
      <c r="T56" s="48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  <c r="HX56" s="49"/>
      <c r="HY56" s="49"/>
      <c r="HZ56" s="49"/>
      <c r="IA56" s="49"/>
    </row>
    <row r="57" spans="1:235" ht="17.5" x14ac:dyDescent="0.45">
      <c r="A57" s="269" t="s">
        <v>91</v>
      </c>
      <c r="B57" s="247">
        <f t="shared" ref="B57:J57" si="15">SUM(B7:B56)</f>
        <v>33872</v>
      </c>
      <c r="C57" s="247">
        <f t="shared" si="15"/>
        <v>43431.187192118203</v>
      </c>
      <c r="D57" s="247">
        <f t="shared" si="15"/>
        <v>1357696</v>
      </c>
      <c r="E57" s="247">
        <f t="shared" si="15"/>
        <v>324315</v>
      </c>
      <c r="F57" s="247">
        <f t="shared" si="15"/>
        <v>1682011</v>
      </c>
      <c r="G57" s="247">
        <f t="shared" si="15"/>
        <v>1144720.1428571427</v>
      </c>
      <c r="H57" s="247">
        <f t="shared" si="15"/>
        <v>2554189.4285714268</v>
      </c>
      <c r="I57" s="247">
        <f t="shared" si="15"/>
        <v>3389321</v>
      </c>
      <c r="J57" s="247">
        <f t="shared" si="15"/>
        <v>5943510.428571431</v>
      </c>
      <c r="K57" s="63"/>
      <c r="L57" s="63"/>
      <c r="M57" s="57"/>
      <c r="N57" s="57"/>
      <c r="O57" s="48"/>
      <c r="P57" s="48"/>
      <c r="Q57" s="48"/>
      <c r="R57" s="48"/>
      <c r="S57" s="48"/>
      <c r="T57" s="48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  <c r="HC57" s="49"/>
      <c r="HD57" s="49"/>
      <c r="HE57" s="49"/>
      <c r="HF57" s="49"/>
      <c r="HG57" s="49"/>
      <c r="HH57" s="49"/>
      <c r="HI57" s="49"/>
      <c r="HJ57" s="49"/>
      <c r="HK57" s="49"/>
      <c r="HL57" s="49"/>
      <c r="HM57" s="49"/>
      <c r="HN57" s="49"/>
      <c r="HO57" s="49"/>
      <c r="HP57" s="49"/>
      <c r="HQ57" s="49"/>
      <c r="HR57" s="49"/>
      <c r="HS57" s="49"/>
      <c r="HT57" s="49"/>
      <c r="HU57" s="49"/>
      <c r="HV57" s="49"/>
      <c r="HW57" s="49"/>
      <c r="HX57" s="49"/>
      <c r="HY57" s="49"/>
      <c r="HZ57" s="49"/>
      <c r="IA57" s="49"/>
    </row>
    <row r="58" spans="1:235" ht="17.5" x14ac:dyDescent="0.45">
      <c r="A58" s="269" t="str">
        <f>+Page_9!A58</f>
        <v>7 - Year Hist Avg (A-12)</v>
      </c>
      <c r="B58" s="242">
        <f>AVERAGE(B41:B47)</f>
        <v>2117</v>
      </c>
      <c r="C58" s="242">
        <f>AVERAGE(C41:C47)</f>
        <v>617.71428571428567</v>
      </c>
      <c r="D58" s="242">
        <f>AVERAGE(D41:D47)</f>
        <v>20415</v>
      </c>
      <c r="E58" s="242">
        <f>AVERAGE(E41:E47)</f>
        <v>6267</v>
      </c>
      <c r="F58" s="242">
        <f>SUM(D58:E58)</f>
        <v>26682</v>
      </c>
      <c r="G58" s="242">
        <f>AVERAGE(G41:G47)</f>
        <v>17050.571428571428</v>
      </c>
      <c r="H58" s="242">
        <f>AVERAGE(H41:H47)</f>
        <v>40123.714285714283</v>
      </c>
      <c r="I58" s="242">
        <f>AVERAGE(I41:I47)</f>
        <v>50475</v>
      </c>
      <c r="J58" s="242">
        <f>SUM(H58:I58)</f>
        <v>90598.71428571429</v>
      </c>
      <c r="K58" s="63"/>
      <c r="L58" s="63">
        <f>+C58+D58+G58+H58</f>
        <v>78207</v>
      </c>
      <c r="M58" s="57"/>
      <c r="N58" s="63">
        <f>+B58+E58+I58</f>
        <v>58859</v>
      </c>
      <c r="O58" s="48"/>
      <c r="P58" s="48"/>
      <c r="Q58" s="48"/>
      <c r="R58" s="48"/>
      <c r="S58" s="48"/>
      <c r="T58" s="48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  <c r="HC58" s="49"/>
      <c r="HD58" s="49"/>
      <c r="HE58" s="49"/>
      <c r="HF58" s="49"/>
      <c r="HG58" s="49"/>
      <c r="HH58" s="49"/>
      <c r="HI58" s="49"/>
      <c r="HJ58" s="49"/>
      <c r="HK58" s="49"/>
      <c r="HL58" s="49"/>
      <c r="HM58" s="49"/>
      <c r="HN58" s="49"/>
      <c r="HO58" s="49"/>
      <c r="HP58" s="49"/>
      <c r="HQ58" s="49"/>
      <c r="HR58" s="49"/>
      <c r="HS58" s="49"/>
      <c r="HT58" s="49"/>
      <c r="HU58" s="49"/>
      <c r="HV58" s="49"/>
      <c r="HW58" s="49"/>
      <c r="HX58" s="49"/>
      <c r="HY58" s="49"/>
      <c r="HZ58" s="49"/>
      <c r="IA58" s="49"/>
    </row>
    <row r="59" spans="1:235" s="54" customFormat="1" ht="17.5" x14ac:dyDescent="0.45">
      <c r="A59" s="272" t="str">
        <f>+Page_9!A59</f>
        <v>Projected Del. (A-2ba)</v>
      </c>
      <c r="B59" s="242">
        <f>SUM(B49:B56)</f>
        <v>16936</v>
      </c>
      <c r="C59" s="242">
        <f>SUM(C49:C56)</f>
        <v>4941.7142857142853</v>
      </c>
      <c r="D59" s="242">
        <f>SUM(D49:D56)</f>
        <v>163320</v>
      </c>
      <c r="E59" s="242">
        <f>SUM(E49:E56)</f>
        <v>50136</v>
      </c>
      <c r="F59" s="242">
        <f>SUM(D59:E59)</f>
        <v>213456</v>
      </c>
      <c r="G59" s="242">
        <f>SUM(G49:G56)</f>
        <v>136404.57142857139</v>
      </c>
      <c r="H59" s="242">
        <f>SUM(H49:H56)</f>
        <v>320989.71428571426</v>
      </c>
      <c r="I59" s="242">
        <f>SUM(I49:I56)</f>
        <v>403800</v>
      </c>
      <c r="J59" s="242">
        <f>SUM(H59:I59)</f>
        <v>724789.71428571432</v>
      </c>
      <c r="K59" s="19"/>
      <c r="L59" s="19">
        <f>+C59+D59+G59+H59</f>
        <v>625656</v>
      </c>
      <c r="M59" s="51"/>
      <c r="N59" s="19">
        <f>+B59+E59+I59</f>
        <v>470872</v>
      </c>
      <c r="O59" s="29"/>
      <c r="P59" s="29"/>
      <c r="Q59" s="29"/>
      <c r="R59" s="29"/>
      <c r="S59" s="29"/>
      <c r="T59" s="29"/>
    </row>
    <row r="60" spans="1:235" ht="15.5" x14ac:dyDescent="0.35">
      <c r="A60" s="8"/>
      <c r="B60" s="5"/>
      <c r="C60" s="56" t="s">
        <v>102</v>
      </c>
      <c r="D60" s="56" t="s">
        <v>102</v>
      </c>
      <c r="E60" s="56" t="s">
        <v>102</v>
      </c>
      <c r="F60" s="56" t="s">
        <v>102</v>
      </c>
      <c r="G60" s="56" t="s">
        <v>102</v>
      </c>
      <c r="H60" s="56" t="s">
        <v>102</v>
      </c>
      <c r="I60" s="56" t="s">
        <v>102</v>
      </c>
      <c r="J60" s="56" t="s">
        <v>102</v>
      </c>
      <c r="K60" s="56"/>
      <c r="L60" s="56" t="s">
        <v>102</v>
      </c>
      <c r="M60" s="57"/>
      <c r="N60" s="57"/>
      <c r="O60" s="30"/>
      <c r="P60" s="30"/>
      <c r="Q60" s="30"/>
      <c r="R60" s="30"/>
      <c r="S60" s="30"/>
      <c r="T60" s="30"/>
    </row>
    <row r="61" spans="1:235" ht="15.5" x14ac:dyDescent="0.35">
      <c r="A61" s="8"/>
      <c r="B61" s="5"/>
      <c r="C61" s="56" t="s">
        <v>102</v>
      </c>
      <c r="D61" s="56" t="s">
        <v>102</v>
      </c>
      <c r="E61" s="56" t="s">
        <v>102</v>
      </c>
      <c r="F61" s="56" t="s">
        <v>102</v>
      </c>
      <c r="G61" s="56" t="s">
        <v>102</v>
      </c>
      <c r="H61" s="56" t="s">
        <v>102</v>
      </c>
      <c r="I61" s="56" t="s">
        <v>102</v>
      </c>
      <c r="J61" s="56" t="s">
        <v>102</v>
      </c>
      <c r="K61" s="56"/>
      <c r="L61" s="56" t="s">
        <v>102</v>
      </c>
      <c r="M61" s="57"/>
      <c r="N61" s="57"/>
      <c r="O61" s="30"/>
      <c r="P61" s="30"/>
      <c r="Q61" s="30"/>
      <c r="R61" s="30"/>
      <c r="S61" s="30"/>
      <c r="T61" s="30"/>
    </row>
    <row r="62" spans="1:235" ht="15.5" x14ac:dyDescent="0.35">
      <c r="A62" s="8"/>
      <c r="B62" s="5"/>
      <c r="C62" s="56" t="s">
        <v>102</v>
      </c>
      <c r="D62" s="56" t="s">
        <v>102</v>
      </c>
      <c r="E62" s="56" t="s">
        <v>102</v>
      </c>
      <c r="F62" s="56" t="s">
        <v>102</v>
      </c>
      <c r="G62" s="56" t="s">
        <v>102</v>
      </c>
      <c r="H62" s="56" t="s">
        <v>102</v>
      </c>
      <c r="I62" s="56" t="s">
        <v>102</v>
      </c>
      <c r="J62" s="56" t="s">
        <v>102</v>
      </c>
      <c r="K62" s="56"/>
      <c r="L62" s="56" t="s">
        <v>102</v>
      </c>
      <c r="M62" s="57"/>
      <c r="N62" s="57"/>
      <c r="O62" s="30"/>
      <c r="P62" s="30"/>
      <c r="Q62" s="30"/>
      <c r="R62" s="30"/>
      <c r="S62" s="30"/>
      <c r="T62" s="30"/>
    </row>
    <row r="63" spans="1:235" ht="15.5" x14ac:dyDescent="0.35">
      <c r="A63" s="8"/>
      <c r="B63" s="5"/>
      <c r="C63" s="56" t="s">
        <v>102</v>
      </c>
      <c r="D63" s="56" t="s">
        <v>102</v>
      </c>
      <c r="E63" s="56" t="s">
        <v>102</v>
      </c>
      <c r="F63" s="56" t="s">
        <v>102</v>
      </c>
      <c r="G63" s="56" t="s">
        <v>102</v>
      </c>
      <c r="H63" s="56" t="s">
        <v>102</v>
      </c>
      <c r="I63" s="56" t="s">
        <v>102</v>
      </c>
      <c r="J63" s="56" t="s">
        <v>102</v>
      </c>
      <c r="K63" s="56"/>
      <c r="L63" s="56" t="s">
        <v>102</v>
      </c>
      <c r="M63" s="57"/>
      <c r="N63" s="57"/>
      <c r="O63" s="30"/>
      <c r="P63" s="30"/>
      <c r="Q63" s="30"/>
      <c r="R63" s="30"/>
      <c r="S63" s="30"/>
      <c r="T63" s="30"/>
    </row>
    <row r="64" spans="1:235" ht="15.5" x14ac:dyDescent="0.35">
      <c r="A64" s="8"/>
      <c r="B64" s="5"/>
      <c r="C64" s="56" t="s">
        <v>102</v>
      </c>
      <c r="D64" s="56" t="s">
        <v>102</v>
      </c>
      <c r="E64" s="56" t="s">
        <v>102</v>
      </c>
      <c r="F64" s="56" t="s">
        <v>102</v>
      </c>
      <c r="G64" s="56" t="s">
        <v>102</v>
      </c>
      <c r="H64" s="56" t="s">
        <v>102</v>
      </c>
      <c r="I64" s="56" t="s">
        <v>102</v>
      </c>
      <c r="J64" s="56" t="s">
        <v>102</v>
      </c>
      <c r="K64" s="56"/>
      <c r="L64" s="56" t="s">
        <v>102</v>
      </c>
      <c r="M64" s="57"/>
      <c r="N64" s="57"/>
      <c r="O64" s="30"/>
      <c r="P64" s="30"/>
      <c r="Q64" s="30"/>
      <c r="R64" s="30"/>
      <c r="S64" s="30"/>
      <c r="T64" s="30"/>
    </row>
    <row r="65" spans="1:20" ht="15.5" x14ac:dyDescent="0.35">
      <c r="A65" s="8"/>
      <c r="B65" s="5"/>
      <c r="C65" s="56" t="s">
        <v>102</v>
      </c>
      <c r="D65" s="56" t="s">
        <v>102</v>
      </c>
      <c r="E65" s="56" t="s">
        <v>102</v>
      </c>
      <c r="F65" s="56" t="s">
        <v>102</v>
      </c>
      <c r="G65" s="56" t="s">
        <v>102</v>
      </c>
      <c r="H65" s="56" t="s">
        <v>102</v>
      </c>
      <c r="I65" s="56" t="s">
        <v>102</v>
      </c>
      <c r="J65" s="56" t="s">
        <v>102</v>
      </c>
      <c r="K65" s="56"/>
      <c r="L65" s="56" t="s">
        <v>102</v>
      </c>
      <c r="M65" s="57"/>
      <c r="N65" s="57"/>
      <c r="O65" s="30"/>
      <c r="P65" s="30"/>
      <c r="Q65" s="30"/>
      <c r="R65" s="30"/>
      <c r="S65" s="30"/>
      <c r="T65" s="30"/>
    </row>
    <row r="66" spans="1:20" ht="15.5" x14ac:dyDescent="0.35">
      <c r="A66" s="8"/>
      <c r="B66" s="5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30"/>
      <c r="P66" s="30"/>
      <c r="Q66" s="30"/>
      <c r="R66" s="30"/>
      <c r="S66" s="30"/>
      <c r="T66" s="30"/>
    </row>
    <row r="67" spans="1:20" ht="15.5" x14ac:dyDescent="0.35">
      <c r="A67" s="8"/>
      <c r="B67" s="5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30"/>
      <c r="P67" s="30"/>
      <c r="Q67" s="30"/>
      <c r="R67" s="30"/>
      <c r="S67" s="30"/>
      <c r="T67" s="30"/>
    </row>
    <row r="68" spans="1:20" ht="15.5" x14ac:dyDescent="0.35">
      <c r="A68" s="8"/>
      <c r="B68" s="5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30"/>
      <c r="P68" s="30"/>
      <c r="Q68" s="30"/>
      <c r="R68" s="30"/>
      <c r="S68" s="30"/>
      <c r="T68" s="30"/>
    </row>
    <row r="69" spans="1:20" ht="15.5" x14ac:dyDescent="0.35">
      <c r="A69" s="8"/>
      <c r="B69" s="5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30"/>
      <c r="P69" s="30"/>
      <c r="Q69" s="30"/>
      <c r="R69" s="30"/>
      <c r="S69" s="30"/>
      <c r="T69" s="30"/>
    </row>
    <row r="70" spans="1:20" ht="15.5" x14ac:dyDescent="0.35">
      <c r="A70" s="8"/>
      <c r="B70" s="5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30"/>
      <c r="P70" s="30"/>
      <c r="Q70" s="30"/>
      <c r="R70" s="30"/>
      <c r="S70" s="30"/>
      <c r="T70" s="30"/>
    </row>
    <row r="71" spans="1:20" ht="15.5" x14ac:dyDescent="0.35">
      <c r="A71" s="8"/>
      <c r="B71" s="5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30"/>
      <c r="P71" s="30"/>
      <c r="Q71" s="30"/>
      <c r="R71" s="30"/>
      <c r="S71" s="30"/>
      <c r="T71" s="30"/>
    </row>
    <row r="72" spans="1:20" ht="15.5" x14ac:dyDescent="0.35">
      <c r="A72" s="8"/>
      <c r="B72" s="5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30"/>
      <c r="P72" s="30"/>
      <c r="Q72" s="30"/>
      <c r="R72" s="30"/>
      <c r="S72" s="30"/>
      <c r="T72" s="30"/>
    </row>
    <row r="73" spans="1:20" ht="15.5" x14ac:dyDescent="0.35">
      <c r="A73" s="8"/>
      <c r="B73" s="5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30"/>
      <c r="P73" s="30"/>
      <c r="Q73" s="30"/>
      <c r="R73" s="30"/>
      <c r="S73" s="30"/>
      <c r="T73" s="30"/>
    </row>
    <row r="74" spans="1:20" ht="15.5" x14ac:dyDescent="0.35">
      <c r="A74" s="8"/>
      <c r="B74" s="5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30"/>
      <c r="P74" s="30"/>
      <c r="Q74" s="30"/>
      <c r="R74" s="30"/>
      <c r="S74" s="30"/>
      <c r="T74" s="30"/>
    </row>
    <row r="75" spans="1:20" ht="15.5" x14ac:dyDescent="0.35">
      <c r="A75" s="8"/>
      <c r="B75" s="5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30"/>
      <c r="P75" s="30"/>
      <c r="Q75" s="30"/>
      <c r="R75" s="30"/>
      <c r="S75" s="30"/>
      <c r="T75" s="30"/>
    </row>
    <row r="76" spans="1:20" ht="15.5" x14ac:dyDescent="0.35">
      <c r="A76" s="8"/>
      <c r="B76" s="5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30"/>
      <c r="P76" s="30"/>
      <c r="Q76" s="30"/>
      <c r="R76" s="30"/>
      <c r="S76" s="30"/>
      <c r="T76" s="30"/>
    </row>
    <row r="77" spans="1:20" ht="15.5" x14ac:dyDescent="0.35">
      <c r="A77" s="8"/>
      <c r="B77" s="5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30"/>
      <c r="P77" s="30"/>
      <c r="Q77" s="30"/>
      <c r="R77" s="30"/>
      <c r="S77" s="30"/>
      <c r="T77" s="30"/>
    </row>
    <row r="78" spans="1:20" ht="15.5" x14ac:dyDescent="0.35">
      <c r="A78" s="8"/>
      <c r="B78" s="5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30"/>
      <c r="P78" s="30"/>
      <c r="Q78" s="30"/>
      <c r="R78" s="30"/>
      <c r="S78" s="30"/>
      <c r="T78" s="30"/>
    </row>
    <row r="79" spans="1:20" ht="15.5" x14ac:dyDescent="0.35">
      <c r="A79" s="8"/>
      <c r="B79" s="5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30"/>
      <c r="P79" s="30"/>
      <c r="Q79" s="30"/>
      <c r="R79" s="30"/>
      <c r="S79" s="30"/>
      <c r="T79" s="30"/>
    </row>
    <row r="80" spans="1:20" ht="15.5" x14ac:dyDescent="0.35">
      <c r="A80" s="8"/>
      <c r="B80" s="5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30"/>
      <c r="P80" s="30"/>
      <c r="Q80" s="30"/>
      <c r="R80" s="30"/>
      <c r="S80" s="30"/>
      <c r="T80" s="30"/>
    </row>
    <row r="81" spans="1:20" ht="15.5" x14ac:dyDescent="0.35">
      <c r="A81" s="8"/>
      <c r="B81" s="5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30"/>
      <c r="P81" s="30"/>
      <c r="Q81" s="30"/>
      <c r="R81" s="30"/>
      <c r="S81" s="30"/>
      <c r="T81" s="30"/>
    </row>
    <row r="82" spans="1:20" ht="15.5" x14ac:dyDescent="0.35">
      <c r="A82" s="8"/>
      <c r="B82" s="5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30"/>
      <c r="P82" s="30"/>
      <c r="Q82" s="30"/>
      <c r="R82" s="30"/>
      <c r="S82" s="30"/>
      <c r="T82" s="30"/>
    </row>
    <row r="83" spans="1:20" ht="15.5" x14ac:dyDescent="0.35">
      <c r="A83" s="8"/>
      <c r="B83" s="5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30"/>
      <c r="P83" s="30"/>
      <c r="Q83" s="30"/>
      <c r="R83" s="30"/>
      <c r="S83" s="30"/>
      <c r="T83" s="30"/>
    </row>
    <row r="84" spans="1:20" ht="15.5" x14ac:dyDescent="0.35">
      <c r="A84" s="8"/>
      <c r="B84" s="5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30"/>
      <c r="P84" s="30"/>
      <c r="Q84" s="30"/>
      <c r="R84" s="30"/>
      <c r="S84" s="30"/>
      <c r="T84" s="30"/>
    </row>
    <row r="85" spans="1:20" ht="15.5" x14ac:dyDescent="0.35">
      <c r="A85" s="8"/>
      <c r="B85" s="5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30"/>
      <c r="P85" s="30"/>
      <c r="Q85" s="30"/>
      <c r="R85" s="30"/>
      <c r="S85" s="30"/>
      <c r="T85" s="30"/>
    </row>
    <row r="86" spans="1:20" ht="15.5" x14ac:dyDescent="0.35">
      <c r="A86" s="8"/>
      <c r="B86" s="5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30"/>
      <c r="P86" s="30"/>
      <c r="Q86" s="30"/>
      <c r="R86" s="30"/>
      <c r="S86" s="30"/>
      <c r="T86" s="30"/>
    </row>
    <row r="87" spans="1:20" ht="15.5" x14ac:dyDescent="0.35">
      <c r="A87" s="8"/>
      <c r="B87" s="5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30"/>
      <c r="P87" s="30"/>
      <c r="Q87" s="30"/>
      <c r="R87" s="30"/>
      <c r="S87" s="30"/>
      <c r="T87" s="30"/>
    </row>
    <row r="88" spans="1:20" ht="15.5" x14ac:dyDescent="0.35">
      <c r="A88" s="8"/>
      <c r="B88" s="5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30"/>
      <c r="P88" s="30"/>
      <c r="Q88" s="30"/>
      <c r="R88" s="30"/>
      <c r="S88" s="30"/>
      <c r="T88" s="30"/>
    </row>
    <row r="89" spans="1:20" ht="15.5" x14ac:dyDescent="0.35">
      <c r="A89" s="8"/>
      <c r="B89" s="5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30"/>
      <c r="P89" s="30"/>
      <c r="Q89" s="30"/>
      <c r="R89" s="30"/>
      <c r="S89" s="30"/>
      <c r="T89" s="30"/>
    </row>
    <row r="90" spans="1:20" ht="15.5" x14ac:dyDescent="0.35">
      <c r="A90" s="8"/>
      <c r="B90" s="5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30"/>
      <c r="P90" s="30"/>
      <c r="Q90" s="30"/>
      <c r="R90" s="30"/>
      <c r="S90" s="30"/>
      <c r="T90" s="30"/>
    </row>
    <row r="91" spans="1:20" ht="15.5" x14ac:dyDescent="0.35">
      <c r="A91" s="8"/>
      <c r="B91" s="5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30"/>
      <c r="P91" s="30"/>
      <c r="Q91" s="30"/>
      <c r="R91" s="30"/>
      <c r="S91" s="30"/>
      <c r="T91" s="30"/>
    </row>
    <row r="92" spans="1:20" ht="15.5" x14ac:dyDescent="0.35">
      <c r="A92" s="8"/>
      <c r="B92" s="5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30"/>
      <c r="P92" s="30"/>
      <c r="Q92" s="30"/>
      <c r="R92" s="30"/>
      <c r="S92" s="30"/>
      <c r="T92" s="30"/>
    </row>
    <row r="93" spans="1:20" ht="15.5" x14ac:dyDescent="0.35">
      <c r="A93" s="8"/>
      <c r="B93" s="5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30"/>
      <c r="P93" s="30"/>
      <c r="Q93" s="30"/>
      <c r="R93" s="30"/>
      <c r="S93" s="30"/>
      <c r="T93" s="30"/>
    </row>
    <row r="94" spans="1:20" ht="15.5" x14ac:dyDescent="0.35">
      <c r="A94" s="8"/>
      <c r="B94" s="5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30"/>
      <c r="P94" s="30"/>
      <c r="Q94" s="30"/>
      <c r="R94" s="30"/>
      <c r="S94" s="30"/>
      <c r="T94" s="30"/>
    </row>
    <row r="95" spans="1:20" ht="15.5" x14ac:dyDescent="0.35">
      <c r="A95" s="8"/>
      <c r="B95" s="5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30"/>
      <c r="P95" s="30"/>
      <c r="Q95" s="30"/>
      <c r="R95" s="30"/>
      <c r="S95" s="30"/>
      <c r="T95" s="30"/>
    </row>
    <row r="96" spans="1:20" ht="15.5" x14ac:dyDescent="0.35">
      <c r="A96" s="8"/>
      <c r="B96" s="5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30"/>
      <c r="P96" s="30"/>
      <c r="Q96" s="30"/>
      <c r="R96" s="30"/>
      <c r="S96" s="30"/>
      <c r="T96" s="30"/>
    </row>
    <row r="97" spans="1:20" ht="15.5" x14ac:dyDescent="0.35">
      <c r="A97" s="8"/>
      <c r="B97" s="5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30"/>
      <c r="P97" s="30"/>
      <c r="Q97" s="30"/>
      <c r="R97" s="30"/>
      <c r="S97" s="30"/>
      <c r="T97" s="30"/>
    </row>
    <row r="98" spans="1:20" ht="15.5" x14ac:dyDescent="0.35">
      <c r="A98" s="8"/>
      <c r="B98" s="5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30"/>
      <c r="P98" s="30"/>
      <c r="Q98" s="30"/>
      <c r="R98" s="30"/>
      <c r="S98" s="30"/>
      <c r="T98" s="30"/>
    </row>
    <row r="99" spans="1:20" ht="15.5" x14ac:dyDescent="0.35">
      <c r="A99" s="8"/>
      <c r="B99" s="5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30"/>
      <c r="P99" s="30"/>
      <c r="Q99" s="30"/>
      <c r="R99" s="30"/>
      <c r="S99" s="30"/>
      <c r="T99" s="30"/>
    </row>
    <row r="100" spans="1:20" ht="15.5" x14ac:dyDescent="0.35">
      <c r="A100" s="8"/>
      <c r="B100" s="5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30"/>
      <c r="P100" s="30"/>
      <c r="Q100" s="30"/>
      <c r="R100" s="30"/>
      <c r="S100" s="30"/>
      <c r="T100" s="30"/>
    </row>
    <row r="101" spans="1:20" ht="15.5" x14ac:dyDescent="0.35">
      <c r="A101" s="8"/>
      <c r="B101" s="5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30"/>
      <c r="P101" s="30"/>
      <c r="Q101" s="30"/>
      <c r="R101" s="30"/>
      <c r="S101" s="30"/>
      <c r="T101" s="30"/>
    </row>
    <row r="102" spans="1:20" ht="15.5" x14ac:dyDescent="0.35">
      <c r="A102" s="8"/>
      <c r="B102" s="5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30"/>
      <c r="P102" s="30"/>
      <c r="Q102" s="30"/>
      <c r="R102" s="30"/>
      <c r="S102" s="30"/>
      <c r="T102" s="30"/>
    </row>
    <row r="103" spans="1:20" ht="15.5" x14ac:dyDescent="0.35">
      <c r="A103" s="8"/>
      <c r="B103" s="5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30"/>
      <c r="P103" s="30"/>
      <c r="Q103" s="30"/>
      <c r="R103" s="30"/>
      <c r="S103" s="30"/>
      <c r="T103" s="30"/>
    </row>
    <row r="104" spans="1:20" ht="15.5" x14ac:dyDescent="0.35">
      <c r="A104" s="8"/>
      <c r="B104" s="5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30"/>
      <c r="P104" s="30"/>
      <c r="Q104" s="30"/>
      <c r="R104" s="30"/>
      <c r="S104" s="30"/>
      <c r="T104" s="30"/>
    </row>
    <row r="105" spans="1:20" ht="15.5" x14ac:dyDescent="0.35">
      <c r="A105" s="8"/>
      <c r="B105" s="5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30"/>
      <c r="P105" s="30"/>
      <c r="Q105" s="30"/>
      <c r="R105" s="30"/>
      <c r="S105" s="30"/>
      <c r="T105" s="30"/>
    </row>
    <row r="106" spans="1:20" ht="15.5" x14ac:dyDescent="0.35">
      <c r="A106" s="8"/>
      <c r="B106" s="5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30"/>
      <c r="P106" s="30"/>
      <c r="Q106" s="30"/>
      <c r="R106" s="30"/>
      <c r="S106" s="30"/>
      <c r="T106" s="30"/>
    </row>
    <row r="107" spans="1:20" ht="15.5" x14ac:dyDescent="0.35">
      <c r="A107" s="8"/>
      <c r="B107" s="5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30"/>
      <c r="P107" s="30"/>
      <c r="Q107" s="30"/>
      <c r="R107" s="30"/>
      <c r="S107" s="30"/>
      <c r="T107" s="30"/>
    </row>
    <row r="108" spans="1:20" ht="15.5" x14ac:dyDescent="0.35">
      <c r="A108" s="8"/>
      <c r="B108" s="5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30"/>
      <c r="P108" s="30"/>
      <c r="Q108" s="30"/>
      <c r="R108" s="30"/>
      <c r="S108" s="30"/>
      <c r="T108" s="30"/>
    </row>
    <row r="109" spans="1:20" ht="15.5" x14ac:dyDescent="0.35">
      <c r="A109" s="8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20" ht="15.5" x14ac:dyDescent="0.35">
      <c r="A110" s="8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20" ht="15.5" x14ac:dyDescent="0.35">
      <c r="A111" s="8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20" ht="15.5" x14ac:dyDescent="0.35">
      <c r="A112" s="8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5.5" x14ac:dyDescent="0.35">
      <c r="A113" s="8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5.5" x14ac:dyDescent="0.35">
      <c r="A114" s="8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5.5" x14ac:dyDescent="0.35">
      <c r="A115" s="8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5.5" x14ac:dyDescent="0.35">
      <c r="A116" s="8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5.5" x14ac:dyDescent="0.35">
      <c r="A117" s="8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5.5" x14ac:dyDescent="0.35">
      <c r="A118" s="8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5.5" x14ac:dyDescent="0.35">
      <c r="A119" s="8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5.5" x14ac:dyDescent="0.35">
      <c r="A120" s="8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5.5" x14ac:dyDescent="0.35">
      <c r="A121" s="8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5.5" x14ac:dyDescent="0.35">
      <c r="A122" s="8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5.5" x14ac:dyDescent="0.35">
      <c r="A123" s="8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5.5" x14ac:dyDescent="0.35">
      <c r="A124" s="8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5.5" x14ac:dyDescent="0.35">
      <c r="A125" s="8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5.5" x14ac:dyDescent="0.35">
      <c r="A126" s="8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5.5" x14ac:dyDescent="0.35">
      <c r="A127" s="8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5.5" x14ac:dyDescent="0.35">
      <c r="A128" s="8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5.5" x14ac:dyDescent="0.35">
      <c r="A129" s="8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5.5" x14ac:dyDescent="0.35">
      <c r="A130" s="8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5.5" x14ac:dyDescent="0.35">
      <c r="A131" s="8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5.5" x14ac:dyDescent="0.35">
      <c r="A132" s="8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5.5" x14ac:dyDescent="0.35">
      <c r="A133" s="8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5.5" x14ac:dyDescent="0.35">
      <c r="A134" s="8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5.5" x14ac:dyDescent="0.35">
      <c r="A135" s="8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5.5" x14ac:dyDescent="0.35">
      <c r="A136" s="8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5.5" x14ac:dyDescent="0.35">
      <c r="A137" s="8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5.5" x14ac:dyDescent="0.35">
      <c r="A138" s="8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5.5" x14ac:dyDescent="0.35">
      <c r="A139" s="8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5.5" x14ac:dyDescent="0.35">
      <c r="A140" s="8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5.5" x14ac:dyDescent="0.35">
      <c r="A141" s="8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5.5" x14ac:dyDescent="0.35">
      <c r="A142" s="8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5.5" x14ac:dyDescent="0.35">
      <c r="A143" s="8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5.5" x14ac:dyDescent="0.35">
      <c r="A144" s="8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5.5" x14ac:dyDescent="0.35">
      <c r="A145" s="8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5.5" x14ac:dyDescent="0.35">
      <c r="A146" s="8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5.5" x14ac:dyDescent="0.35">
      <c r="A147" s="8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5.5" x14ac:dyDescent="0.35">
      <c r="A148" s="8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5.5" x14ac:dyDescent="0.35">
      <c r="A149" s="8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</sheetData>
  <printOptions horizontalCentered="1"/>
  <pageMargins left="0.25" right="0.25" top="0.5" bottom="0.5" header="0.3" footer="0.3"/>
  <pageSetup scale="43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pdfPage8">
                <anchor moveWithCells="1" sizeWithCells="1">
                  <from>
                    <xdr:col>0</xdr:col>
                    <xdr:colOff>12700</xdr:colOff>
                    <xdr:row>0</xdr:row>
                    <xdr:rowOff>0</xdr:rowOff>
                  </from>
                  <to>
                    <xdr:col>0</xdr:col>
                    <xdr:colOff>19050</xdr:colOff>
                    <xdr:row>0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pdfPage8">
                <anchor moveWithCells="1" sizeWithCells="1">
                  <from>
                    <xdr:col>0</xdr:col>
                    <xdr:colOff>19050</xdr:colOff>
                    <xdr:row>0</xdr:row>
                    <xdr:rowOff>0</xdr:rowOff>
                  </from>
                  <to>
                    <xdr:col>0</xdr:col>
                    <xdr:colOff>38100</xdr:colOff>
                    <xdr:row>0</xdr:row>
                    <xdr:rowOff>12700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4A5AC9-F6EC-41D0-B823-1B5BDEF312E2}">
  <sheetPr transitionEvaluation="1" transitionEntry="1" codeName="Sheet10">
    <pageSetUpPr fitToPage="1"/>
  </sheetPr>
  <dimension ref="A1:HU353"/>
  <sheetViews>
    <sheetView defaultGridColor="0" colorId="22" zoomScale="85" zoomScaleNormal="85" zoomScaleSheetLayoutView="125" workbookViewId="0">
      <selection activeCell="F6" sqref="F6"/>
    </sheetView>
  </sheetViews>
  <sheetFormatPr defaultColWidth="9.58203125" defaultRowHeight="20.149999999999999" customHeight="1" x14ac:dyDescent="0.35"/>
  <cols>
    <col min="1" max="1" width="40.58203125" style="58" customWidth="1"/>
    <col min="2" max="8" width="18.83203125" customWidth="1"/>
  </cols>
  <sheetData>
    <row r="1" spans="1:229" s="2" customFormat="1" ht="26.25" customHeight="1" x14ac:dyDescent="0.55000000000000004">
      <c r="A1" s="286" t="str">
        <f>Page_1!A1</f>
        <v>IRR 2023 Sch A-13 F.Z25.XLSM</v>
      </c>
      <c r="B1" s="252"/>
      <c r="C1" s="263"/>
      <c r="D1" s="263"/>
      <c r="E1" s="263"/>
      <c r="F1" s="263"/>
      <c r="G1" s="263"/>
      <c r="H1" s="294"/>
    </row>
    <row r="2" spans="1:229" s="2" customFormat="1" ht="21" x14ac:dyDescent="0.55000000000000004">
      <c r="A2" s="265" t="str">
        <f>Page_1!A2</f>
        <v>09/20/2022</v>
      </c>
      <c r="B2" s="262"/>
      <c r="C2" s="266"/>
      <c r="D2" s="266"/>
      <c r="E2" s="266"/>
      <c r="F2" s="266"/>
      <c r="G2" s="266"/>
      <c r="H2" s="267"/>
    </row>
    <row r="3" spans="1:229" s="2" customFormat="1" ht="21" x14ac:dyDescent="0.55000000000000004">
      <c r="A3" s="238" t="str">
        <f>Page_1!A3</f>
        <v>CENTRAL VALLEY PROJECT</v>
      </c>
      <c r="B3" s="262"/>
      <c r="C3" s="266"/>
      <c r="D3" s="266"/>
      <c r="E3" s="266"/>
      <c r="F3" s="266"/>
      <c r="G3" s="266"/>
      <c r="H3" s="262"/>
    </row>
    <row r="4" spans="1:229" s="2" customFormat="1" ht="84" x14ac:dyDescent="0.55000000000000004">
      <c r="A4" s="238" t="str">
        <f>Page_1!A4</f>
        <v>SCHEDULE OF HISTORICAL (1981-2021) &amp; PROJECTED (2022-2030) IRRIGATION WATER DELIVERIES (IN ACRE FEET)</v>
      </c>
      <c r="B4" s="262"/>
      <c r="C4" s="266"/>
      <c r="D4" s="266"/>
      <c r="E4" s="266"/>
      <c r="F4" s="266"/>
      <c r="G4" s="266"/>
      <c r="H4" s="252"/>
    </row>
    <row r="5" spans="1:229" ht="63" x14ac:dyDescent="0.55000000000000004">
      <c r="A5" s="238" t="str">
        <f>Page_1!A5</f>
        <v>FOR CALCULATION OF INDIVIDUAL CONTRACTOR PRORATED CONSTRUCTION COSTS AND RATE</v>
      </c>
      <c r="B5" s="252"/>
      <c r="C5" s="262"/>
      <c r="D5" s="262"/>
      <c r="E5" s="262"/>
      <c r="F5" s="262"/>
      <c r="G5" s="262"/>
      <c r="H5" s="262"/>
    </row>
    <row r="6" spans="1:229" s="46" customFormat="1" ht="87.5" x14ac:dyDescent="0.35">
      <c r="A6" s="375" t="s">
        <v>34</v>
      </c>
      <c r="B6" s="380" t="s">
        <v>436</v>
      </c>
      <c r="C6" s="381" t="s">
        <v>435</v>
      </c>
      <c r="D6" s="382" t="s">
        <v>434</v>
      </c>
      <c r="E6" s="383" t="s">
        <v>433</v>
      </c>
      <c r="F6" s="381" t="s">
        <v>432</v>
      </c>
      <c r="G6" s="382" t="s">
        <v>437</v>
      </c>
      <c r="H6" s="383" t="s">
        <v>438</v>
      </c>
    </row>
    <row r="7" spans="1:229" ht="18.5" x14ac:dyDescent="0.45">
      <c r="A7" s="269" t="s">
        <v>42</v>
      </c>
      <c r="B7" s="242">
        <v>39040</v>
      </c>
      <c r="C7" s="242">
        <f>23351-Page_26!B8</f>
        <v>21891.5625</v>
      </c>
      <c r="D7" s="242">
        <v>2132</v>
      </c>
      <c r="E7" s="242">
        <f t="shared" ref="E7:E38" si="0">SUM(C7:D7)</f>
        <v>24023.5625</v>
      </c>
      <c r="F7" s="242">
        <v>22921</v>
      </c>
      <c r="G7" s="242">
        <v>2078</v>
      </c>
      <c r="H7" s="242">
        <f t="shared" ref="H7:H38" si="1">SUM(F7:G7)</f>
        <v>24999</v>
      </c>
      <c r="I7" s="95" t="s">
        <v>102</v>
      </c>
      <c r="J7" s="95" t="s">
        <v>102</v>
      </c>
      <c r="K7" s="95" t="s">
        <v>102</v>
      </c>
      <c r="L7" s="95" t="s">
        <v>102</v>
      </c>
      <c r="M7" s="95" t="s">
        <v>102</v>
      </c>
      <c r="N7" s="20"/>
      <c r="O7" s="20"/>
      <c r="P7" s="20"/>
      <c r="Q7" s="20"/>
      <c r="R7" s="20"/>
      <c r="S7" s="20"/>
      <c r="T7" s="20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1"/>
      <c r="CY7" s="21"/>
      <c r="CZ7" s="21"/>
      <c r="DA7" s="21"/>
      <c r="DB7" s="21"/>
      <c r="DC7" s="21"/>
      <c r="DD7" s="21"/>
      <c r="DE7" s="21"/>
      <c r="DF7" s="21"/>
      <c r="DG7" s="21"/>
      <c r="DH7" s="21"/>
      <c r="DI7" s="21"/>
      <c r="DJ7" s="21"/>
      <c r="DK7" s="21"/>
      <c r="DL7" s="21"/>
      <c r="DM7" s="21"/>
      <c r="DN7" s="21"/>
      <c r="DO7" s="21"/>
      <c r="DP7" s="21"/>
      <c r="DQ7" s="21"/>
      <c r="DR7" s="21"/>
      <c r="DS7" s="21"/>
      <c r="DT7" s="21"/>
      <c r="DU7" s="21"/>
      <c r="DV7" s="21"/>
      <c r="DW7" s="21"/>
      <c r="DX7" s="21"/>
      <c r="DY7" s="21"/>
      <c r="DZ7" s="21"/>
      <c r="EA7" s="21"/>
      <c r="EB7" s="21"/>
      <c r="EC7" s="21"/>
      <c r="ED7" s="21"/>
      <c r="EE7" s="21"/>
      <c r="EF7" s="21"/>
      <c r="EG7" s="21"/>
      <c r="EH7" s="21"/>
      <c r="EI7" s="21"/>
      <c r="EJ7" s="21"/>
      <c r="EK7" s="21"/>
      <c r="EL7" s="21"/>
      <c r="EM7" s="21"/>
      <c r="EN7" s="21"/>
      <c r="EO7" s="21"/>
      <c r="EP7" s="21"/>
      <c r="EQ7" s="21"/>
      <c r="ER7" s="21"/>
      <c r="ES7" s="21"/>
      <c r="ET7" s="21"/>
      <c r="EU7" s="21"/>
      <c r="EV7" s="21"/>
      <c r="EW7" s="21"/>
      <c r="EX7" s="21"/>
      <c r="EY7" s="21"/>
      <c r="EZ7" s="21"/>
      <c r="FA7" s="21"/>
      <c r="FB7" s="21"/>
      <c r="FC7" s="21"/>
      <c r="FD7" s="21"/>
      <c r="FE7" s="21"/>
      <c r="FF7" s="21"/>
      <c r="FG7" s="21"/>
      <c r="FH7" s="21"/>
      <c r="FI7" s="21"/>
      <c r="FJ7" s="21"/>
      <c r="FK7" s="21"/>
      <c r="FL7" s="21"/>
      <c r="FM7" s="21"/>
      <c r="FN7" s="21"/>
      <c r="FO7" s="21"/>
      <c r="FP7" s="21"/>
      <c r="FQ7" s="21"/>
      <c r="FR7" s="21"/>
      <c r="FS7" s="21"/>
      <c r="FT7" s="21"/>
      <c r="FU7" s="21"/>
      <c r="FV7" s="21"/>
      <c r="FW7" s="21"/>
      <c r="FX7" s="21"/>
      <c r="FY7" s="21"/>
      <c r="FZ7" s="21"/>
      <c r="GA7" s="21"/>
      <c r="GB7" s="21"/>
      <c r="GC7" s="21"/>
      <c r="GD7" s="21"/>
      <c r="GE7" s="21"/>
      <c r="GF7" s="21"/>
      <c r="GG7" s="21"/>
      <c r="GH7" s="21"/>
      <c r="GI7" s="21"/>
      <c r="GJ7" s="21"/>
      <c r="GK7" s="21"/>
      <c r="GL7" s="21"/>
      <c r="GM7" s="21"/>
      <c r="GN7" s="21"/>
      <c r="GO7" s="21"/>
      <c r="GP7" s="21"/>
      <c r="GQ7" s="21"/>
      <c r="GR7" s="21"/>
      <c r="GS7" s="21"/>
      <c r="GT7" s="21"/>
      <c r="GU7" s="21"/>
      <c r="GV7" s="21"/>
      <c r="GW7" s="21"/>
      <c r="GX7" s="21"/>
      <c r="GY7" s="21"/>
      <c r="GZ7" s="21"/>
      <c r="HA7" s="21"/>
      <c r="HB7" s="21"/>
      <c r="HC7" s="21"/>
      <c r="HD7" s="21"/>
      <c r="HE7" s="21"/>
      <c r="HF7" s="21"/>
      <c r="HG7" s="21"/>
      <c r="HH7" s="21"/>
      <c r="HI7" s="21"/>
      <c r="HJ7" s="21"/>
      <c r="HK7" s="21"/>
      <c r="HL7" s="21"/>
      <c r="HM7" s="21"/>
      <c r="HN7" s="21"/>
      <c r="HO7" s="21"/>
      <c r="HP7" s="21"/>
      <c r="HQ7" s="21"/>
      <c r="HR7" s="21"/>
      <c r="HS7" s="21"/>
      <c r="HT7" s="21"/>
      <c r="HU7" s="21"/>
    </row>
    <row r="8" spans="1:229" ht="18.5" x14ac:dyDescent="0.45">
      <c r="A8" s="269" t="s">
        <v>43</v>
      </c>
      <c r="B8" s="242">
        <v>34100</v>
      </c>
      <c r="C8" s="242">
        <f>12753-Page_26!B9</f>
        <v>11955.9375</v>
      </c>
      <c r="D8" s="242">
        <v>34851</v>
      </c>
      <c r="E8" s="242">
        <f t="shared" si="0"/>
        <v>46806.9375</v>
      </c>
      <c r="F8" s="242">
        <v>21600</v>
      </c>
      <c r="G8" s="242">
        <v>37562</v>
      </c>
      <c r="H8" s="242">
        <f t="shared" si="1"/>
        <v>59162</v>
      </c>
      <c r="I8" s="95" t="s">
        <v>102</v>
      </c>
      <c r="J8" s="95" t="s">
        <v>102</v>
      </c>
      <c r="K8" s="95" t="s">
        <v>102</v>
      </c>
      <c r="L8" s="95" t="s">
        <v>102</v>
      </c>
      <c r="M8" s="95" t="s">
        <v>102</v>
      </c>
      <c r="N8" s="20"/>
      <c r="O8" s="20"/>
      <c r="P8" s="20"/>
      <c r="Q8" s="20"/>
      <c r="R8" s="20"/>
      <c r="S8" s="20"/>
      <c r="T8" s="20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CD8" s="21"/>
      <c r="CE8" s="21"/>
      <c r="CF8" s="21"/>
      <c r="CG8" s="21"/>
      <c r="CH8" s="21"/>
      <c r="CI8" s="21"/>
      <c r="CJ8" s="21"/>
      <c r="CK8" s="21"/>
      <c r="CL8" s="21"/>
      <c r="CM8" s="21"/>
      <c r="CN8" s="21"/>
      <c r="CO8" s="21"/>
      <c r="CP8" s="21"/>
      <c r="CQ8" s="21"/>
      <c r="CR8" s="21"/>
      <c r="CS8" s="21"/>
      <c r="CT8" s="21"/>
      <c r="CU8" s="21"/>
      <c r="CV8" s="21"/>
      <c r="CW8" s="21"/>
      <c r="CX8" s="21"/>
      <c r="CY8" s="21"/>
      <c r="CZ8" s="21"/>
      <c r="DA8" s="21"/>
      <c r="DB8" s="21"/>
      <c r="DC8" s="21"/>
      <c r="DD8" s="21"/>
      <c r="DE8" s="21"/>
      <c r="DF8" s="21"/>
      <c r="DG8" s="21"/>
      <c r="DH8" s="21"/>
      <c r="DI8" s="21"/>
      <c r="DJ8" s="21"/>
      <c r="DK8" s="21"/>
      <c r="DL8" s="21"/>
      <c r="DM8" s="21"/>
      <c r="DN8" s="21"/>
      <c r="DO8" s="21"/>
      <c r="DP8" s="21"/>
      <c r="DQ8" s="21"/>
      <c r="DR8" s="21"/>
      <c r="DS8" s="21"/>
      <c r="DT8" s="21"/>
      <c r="DU8" s="21"/>
      <c r="DV8" s="21"/>
      <c r="DW8" s="21"/>
      <c r="DX8" s="21"/>
      <c r="DY8" s="21"/>
      <c r="DZ8" s="21"/>
      <c r="EA8" s="21"/>
      <c r="EB8" s="21"/>
      <c r="EC8" s="21"/>
      <c r="ED8" s="21"/>
      <c r="EE8" s="21"/>
      <c r="EF8" s="21"/>
      <c r="EG8" s="21"/>
      <c r="EH8" s="21"/>
      <c r="EI8" s="21"/>
      <c r="EJ8" s="21"/>
      <c r="EK8" s="21"/>
      <c r="EL8" s="21"/>
      <c r="EM8" s="21"/>
      <c r="EN8" s="21"/>
      <c r="EO8" s="21"/>
      <c r="EP8" s="21"/>
      <c r="EQ8" s="21"/>
      <c r="ER8" s="21"/>
      <c r="ES8" s="21"/>
      <c r="ET8" s="21"/>
      <c r="EU8" s="21"/>
      <c r="EV8" s="21"/>
      <c r="EW8" s="21"/>
      <c r="EX8" s="21"/>
      <c r="EY8" s="21"/>
      <c r="EZ8" s="21"/>
      <c r="FA8" s="21"/>
      <c r="FB8" s="21"/>
      <c r="FC8" s="21"/>
      <c r="FD8" s="21"/>
      <c r="FE8" s="21"/>
      <c r="FF8" s="21"/>
      <c r="FG8" s="21"/>
      <c r="FH8" s="21"/>
      <c r="FI8" s="21"/>
      <c r="FJ8" s="21"/>
      <c r="FK8" s="21"/>
      <c r="FL8" s="21"/>
      <c r="FM8" s="21"/>
      <c r="FN8" s="21"/>
      <c r="FO8" s="21"/>
      <c r="FP8" s="21"/>
      <c r="FQ8" s="21"/>
      <c r="FR8" s="21"/>
      <c r="FS8" s="21"/>
      <c r="FT8" s="21"/>
      <c r="FU8" s="21"/>
      <c r="FV8" s="21"/>
      <c r="FW8" s="21"/>
      <c r="FX8" s="21"/>
      <c r="FY8" s="21"/>
      <c r="FZ8" s="21"/>
      <c r="GA8" s="21"/>
      <c r="GB8" s="21"/>
      <c r="GC8" s="21"/>
      <c r="GD8" s="21"/>
      <c r="GE8" s="21"/>
      <c r="GF8" s="21"/>
      <c r="GG8" s="21"/>
      <c r="GH8" s="21"/>
      <c r="GI8" s="21"/>
      <c r="GJ8" s="21"/>
      <c r="GK8" s="21"/>
      <c r="GL8" s="21"/>
      <c r="GM8" s="21"/>
      <c r="GN8" s="21"/>
      <c r="GO8" s="21"/>
      <c r="GP8" s="21"/>
      <c r="GQ8" s="21"/>
      <c r="GR8" s="21"/>
      <c r="GS8" s="21"/>
      <c r="GT8" s="21"/>
      <c r="GU8" s="21"/>
      <c r="GV8" s="21"/>
      <c r="GW8" s="21"/>
      <c r="GX8" s="21"/>
      <c r="GY8" s="21"/>
      <c r="GZ8" s="21"/>
      <c r="HA8" s="21"/>
      <c r="HB8" s="21"/>
      <c r="HC8" s="21"/>
      <c r="HD8" s="21"/>
      <c r="HE8" s="21"/>
      <c r="HF8" s="21"/>
      <c r="HG8" s="21"/>
      <c r="HH8" s="21"/>
      <c r="HI8" s="21"/>
      <c r="HJ8" s="21"/>
      <c r="HK8" s="21"/>
      <c r="HL8" s="21"/>
      <c r="HM8" s="21"/>
      <c r="HN8" s="21"/>
      <c r="HO8" s="21"/>
      <c r="HP8" s="21"/>
      <c r="HQ8" s="21"/>
      <c r="HR8" s="21"/>
      <c r="HS8" s="21"/>
      <c r="HT8" s="21"/>
      <c r="HU8" s="21"/>
    </row>
    <row r="9" spans="1:229" ht="18.5" x14ac:dyDescent="0.45">
      <c r="A9" s="269" t="s">
        <v>44</v>
      </c>
      <c r="B9" s="242">
        <v>35093</v>
      </c>
      <c r="C9" s="242">
        <f>11762-Page_26!B10</f>
        <v>11026.875</v>
      </c>
      <c r="D9" s="242">
        <v>30000</v>
      </c>
      <c r="E9" s="242">
        <f t="shared" si="0"/>
        <v>41026.875</v>
      </c>
      <c r="F9" s="242">
        <v>24506</v>
      </c>
      <c r="G9" s="242">
        <v>32800</v>
      </c>
      <c r="H9" s="242">
        <f t="shared" si="1"/>
        <v>57306</v>
      </c>
      <c r="I9" s="95" t="s">
        <v>102</v>
      </c>
      <c r="J9" s="95" t="s">
        <v>102</v>
      </c>
      <c r="K9" s="95" t="s">
        <v>102</v>
      </c>
      <c r="L9" s="95" t="s">
        <v>102</v>
      </c>
      <c r="M9" s="95" t="s">
        <v>102</v>
      </c>
      <c r="N9" s="20"/>
      <c r="O9" s="20"/>
      <c r="P9" s="20"/>
      <c r="Q9" s="20"/>
      <c r="R9" s="20"/>
      <c r="S9" s="20"/>
      <c r="T9" s="20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CD9" s="21"/>
      <c r="CE9" s="21"/>
      <c r="CF9" s="21"/>
      <c r="CG9" s="21"/>
      <c r="CH9" s="21"/>
      <c r="CI9" s="21"/>
      <c r="CJ9" s="21"/>
      <c r="CK9" s="21"/>
      <c r="CL9" s="21"/>
      <c r="CM9" s="21"/>
      <c r="CN9" s="21"/>
      <c r="CO9" s="21"/>
      <c r="CP9" s="21"/>
      <c r="CQ9" s="21"/>
      <c r="CR9" s="21"/>
      <c r="CS9" s="21"/>
      <c r="CT9" s="21"/>
      <c r="CU9" s="21"/>
      <c r="CV9" s="21"/>
      <c r="CW9" s="21"/>
      <c r="CX9" s="21"/>
      <c r="CY9" s="21"/>
      <c r="CZ9" s="21"/>
      <c r="DA9" s="21"/>
      <c r="DB9" s="21"/>
      <c r="DC9" s="21"/>
      <c r="DD9" s="21"/>
      <c r="DE9" s="21"/>
      <c r="DF9" s="21"/>
      <c r="DG9" s="21"/>
      <c r="DH9" s="21"/>
      <c r="DI9" s="21"/>
      <c r="DJ9" s="21"/>
      <c r="DK9" s="21"/>
      <c r="DL9" s="21"/>
      <c r="DM9" s="21"/>
      <c r="DN9" s="21"/>
      <c r="DO9" s="21"/>
      <c r="DP9" s="21"/>
      <c r="DQ9" s="21"/>
      <c r="DR9" s="21"/>
      <c r="DS9" s="21"/>
      <c r="DT9" s="21"/>
      <c r="DU9" s="21"/>
      <c r="DV9" s="21"/>
      <c r="DW9" s="21"/>
      <c r="DX9" s="21"/>
      <c r="DY9" s="21"/>
      <c r="DZ9" s="21"/>
      <c r="EA9" s="21"/>
      <c r="EB9" s="21"/>
      <c r="EC9" s="21"/>
      <c r="ED9" s="21"/>
      <c r="EE9" s="21"/>
      <c r="EF9" s="21"/>
      <c r="EG9" s="21"/>
      <c r="EH9" s="21"/>
      <c r="EI9" s="21"/>
      <c r="EJ9" s="21"/>
      <c r="EK9" s="21"/>
      <c r="EL9" s="21"/>
      <c r="EM9" s="21"/>
      <c r="EN9" s="21"/>
      <c r="EO9" s="21"/>
      <c r="EP9" s="21"/>
      <c r="EQ9" s="21"/>
      <c r="ER9" s="21"/>
      <c r="ES9" s="21"/>
      <c r="ET9" s="21"/>
      <c r="EU9" s="21"/>
      <c r="EV9" s="21"/>
      <c r="EW9" s="21"/>
      <c r="EX9" s="21"/>
      <c r="EY9" s="21"/>
      <c r="EZ9" s="21"/>
      <c r="FA9" s="21"/>
      <c r="FB9" s="21"/>
      <c r="FC9" s="21"/>
      <c r="FD9" s="21"/>
      <c r="FE9" s="21"/>
      <c r="FF9" s="21"/>
      <c r="FG9" s="21"/>
      <c r="FH9" s="21"/>
      <c r="FI9" s="21"/>
      <c r="FJ9" s="21"/>
      <c r="FK9" s="21"/>
      <c r="FL9" s="21"/>
      <c r="FM9" s="21"/>
      <c r="FN9" s="21"/>
      <c r="FO9" s="21"/>
      <c r="FP9" s="21"/>
      <c r="FQ9" s="21"/>
      <c r="FR9" s="21"/>
      <c r="FS9" s="21"/>
      <c r="FT9" s="21"/>
      <c r="FU9" s="21"/>
      <c r="FV9" s="21"/>
      <c r="FW9" s="21"/>
      <c r="FX9" s="21"/>
      <c r="FY9" s="21"/>
      <c r="FZ9" s="21"/>
      <c r="GA9" s="21"/>
      <c r="GB9" s="21"/>
      <c r="GC9" s="21"/>
      <c r="GD9" s="21"/>
      <c r="GE9" s="21"/>
      <c r="GF9" s="21"/>
      <c r="GG9" s="21"/>
      <c r="GH9" s="21"/>
      <c r="GI9" s="21"/>
      <c r="GJ9" s="21"/>
      <c r="GK9" s="21"/>
      <c r="GL9" s="21"/>
      <c r="GM9" s="21"/>
      <c r="GN9" s="21"/>
      <c r="GO9" s="21"/>
      <c r="GP9" s="21"/>
      <c r="GQ9" s="21"/>
      <c r="GR9" s="21"/>
      <c r="GS9" s="21"/>
      <c r="GT9" s="21"/>
      <c r="GU9" s="21"/>
      <c r="GV9" s="21"/>
      <c r="GW9" s="21"/>
      <c r="GX9" s="21"/>
      <c r="GY9" s="21"/>
      <c r="GZ9" s="21"/>
      <c r="HA9" s="21"/>
      <c r="HB9" s="21"/>
      <c r="HC9" s="21"/>
      <c r="HD9" s="21"/>
      <c r="HE9" s="21"/>
      <c r="HF9" s="21"/>
      <c r="HG9" s="21"/>
      <c r="HH9" s="21"/>
      <c r="HI9" s="21"/>
      <c r="HJ9" s="21"/>
      <c r="HK9" s="21"/>
      <c r="HL9" s="21"/>
      <c r="HM9" s="21"/>
      <c r="HN9" s="21"/>
      <c r="HO9" s="21"/>
      <c r="HP9" s="21"/>
      <c r="HQ9" s="21"/>
      <c r="HR9" s="21"/>
      <c r="HS9" s="21"/>
      <c r="HT9" s="21"/>
      <c r="HU9" s="21"/>
    </row>
    <row r="10" spans="1:229" ht="18.5" x14ac:dyDescent="0.45">
      <c r="A10" s="269" t="s">
        <v>45</v>
      </c>
      <c r="B10" s="242">
        <v>47525</v>
      </c>
      <c r="C10" s="242">
        <f>19377-Page_26!B11</f>
        <v>18165.9375</v>
      </c>
      <c r="D10" s="242">
        <v>14400</v>
      </c>
      <c r="E10" s="242">
        <f t="shared" si="0"/>
        <v>32565.9375</v>
      </c>
      <c r="F10" s="242">
        <v>12870</v>
      </c>
      <c r="G10" s="242">
        <v>15303</v>
      </c>
      <c r="H10" s="242">
        <f t="shared" si="1"/>
        <v>28173</v>
      </c>
      <c r="I10" s="95" t="s">
        <v>102</v>
      </c>
      <c r="J10" s="95" t="s">
        <v>102</v>
      </c>
      <c r="K10" s="95" t="s">
        <v>102</v>
      </c>
      <c r="L10" s="95" t="s">
        <v>102</v>
      </c>
      <c r="M10" s="95" t="s">
        <v>102</v>
      </c>
      <c r="N10" s="20"/>
      <c r="O10" s="20"/>
      <c r="P10" s="20"/>
      <c r="Q10" s="20"/>
      <c r="R10" s="20"/>
      <c r="S10" s="20"/>
      <c r="T10" s="20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</row>
    <row r="11" spans="1:229" ht="18.5" x14ac:dyDescent="0.45">
      <c r="A11" s="269" t="s">
        <v>46</v>
      </c>
      <c r="B11" s="242">
        <v>37841</v>
      </c>
      <c r="C11" s="242">
        <f>20220-Page_26!B12</f>
        <v>18956.25</v>
      </c>
      <c r="D11" s="242">
        <v>2358</v>
      </c>
      <c r="E11" s="242">
        <f t="shared" si="0"/>
        <v>21314.25</v>
      </c>
      <c r="F11" s="242">
        <v>27543</v>
      </c>
      <c r="G11" s="242">
        <v>1753</v>
      </c>
      <c r="H11" s="242">
        <f t="shared" si="1"/>
        <v>29296</v>
      </c>
      <c r="I11" s="95" t="s">
        <v>102</v>
      </c>
      <c r="J11" s="95" t="s">
        <v>102</v>
      </c>
      <c r="K11" s="95" t="s">
        <v>102</v>
      </c>
      <c r="L11" s="95" t="s">
        <v>102</v>
      </c>
      <c r="M11" s="95" t="s">
        <v>102</v>
      </c>
      <c r="N11" s="20"/>
      <c r="O11" s="20"/>
      <c r="P11" s="20"/>
      <c r="Q11" s="20"/>
      <c r="R11" s="20"/>
      <c r="S11" s="20"/>
      <c r="T11" s="20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</row>
    <row r="12" spans="1:229" ht="18.5" x14ac:dyDescent="0.45">
      <c r="A12" s="269" t="s">
        <v>47</v>
      </c>
      <c r="B12" s="242">
        <v>38600</v>
      </c>
      <c r="C12" s="242">
        <f>12228-Page_26!B13</f>
        <v>11463.75</v>
      </c>
      <c r="D12" s="242">
        <v>31555</v>
      </c>
      <c r="E12" s="242">
        <f t="shared" si="0"/>
        <v>43018.75</v>
      </c>
      <c r="F12" s="242">
        <v>18403</v>
      </c>
      <c r="G12" s="242">
        <v>37408</v>
      </c>
      <c r="H12" s="242">
        <f t="shared" si="1"/>
        <v>55811</v>
      </c>
      <c r="I12" s="95" t="s">
        <v>102</v>
      </c>
      <c r="J12" s="95" t="s">
        <v>102</v>
      </c>
      <c r="K12" s="95" t="s">
        <v>102</v>
      </c>
      <c r="L12" s="95" t="s">
        <v>102</v>
      </c>
      <c r="M12" s="95" t="s">
        <v>102</v>
      </c>
      <c r="N12" s="20"/>
      <c r="O12" s="20"/>
      <c r="P12" s="20"/>
      <c r="Q12" s="20"/>
      <c r="R12" s="20"/>
      <c r="S12" s="20"/>
      <c r="T12" s="20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</row>
    <row r="13" spans="1:229" ht="18.5" x14ac:dyDescent="0.45">
      <c r="A13" s="269" t="s">
        <v>48</v>
      </c>
      <c r="B13" s="242">
        <v>30768</v>
      </c>
      <c r="C13" s="242">
        <f>17862-Page_26!B14</f>
        <v>16745.625</v>
      </c>
      <c r="D13" s="242">
        <v>600</v>
      </c>
      <c r="E13" s="242">
        <f t="shared" si="0"/>
        <v>17345.625</v>
      </c>
      <c r="F13" s="242">
        <v>23215</v>
      </c>
      <c r="G13" s="242">
        <v>656</v>
      </c>
      <c r="H13" s="242">
        <f t="shared" si="1"/>
        <v>23871</v>
      </c>
      <c r="I13" s="95" t="s">
        <v>102</v>
      </c>
      <c r="J13" s="95" t="s">
        <v>102</v>
      </c>
      <c r="K13" s="95" t="s">
        <v>102</v>
      </c>
      <c r="L13" s="95" t="s">
        <v>102</v>
      </c>
      <c r="M13" s="95" t="s">
        <v>102</v>
      </c>
      <c r="N13" s="20"/>
      <c r="O13" s="20"/>
      <c r="P13" s="20"/>
      <c r="Q13" s="20"/>
      <c r="R13" s="20"/>
      <c r="S13" s="20"/>
      <c r="T13" s="20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</row>
    <row r="14" spans="1:229" ht="18.5" x14ac:dyDescent="0.45">
      <c r="A14" s="269" t="s">
        <v>49</v>
      </c>
      <c r="B14" s="242">
        <v>37046</v>
      </c>
      <c r="C14" s="242">
        <f>13067-Page_26!B15</f>
        <v>12250.3125</v>
      </c>
      <c r="D14" s="248">
        <v>0</v>
      </c>
      <c r="E14" s="242">
        <f t="shared" si="0"/>
        <v>12250.3125</v>
      </c>
      <c r="F14" s="242">
        <v>18465</v>
      </c>
      <c r="G14" s="248">
        <v>0</v>
      </c>
      <c r="H14" s="242">
        <f t="shared" si="1"/>
        <v>18465</v>
      </c>
      <c r="I14" s="95" t="s">
        <v>102</v>
      </c>
      <c r="J14" s="95" t="s">
        <v>102</v>
      </c>
      <c r="K14" s="95" t="s">
        <v>102</v>
      </c>
      <c r="L14" s="95" t="s">
        <v>102</v>
      </c>
      <c r="M14" s="95" t="s">
        <v>102</v>
      </c>
      <c r="N14" s="20"/>
      <c r="O14" s="20"/>
      <c r="P14" s="20"/>
      <c r="Q14" s="20"/>
      <c r="R14" s="20"/>
      <c r="S14" s="20"/>
      <c r="T14" s="20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</row>
    <row r="15" spans="1:229" ht="18.5" x14ac:dyDescent="0.45">
      <c r="A15" s="269" t="s">
        <v>50</v>
      </c>
      <c r="B15" s="242">
        <v>36142</v>
      </c>
      <c r="C15" s="242">
        <f>15356-Page_26!B16</f>
        <v>14396.25</v>
      </c>
      <c r="D15" s="248">
        <v>0</v>
      </c>
      <c r="E15" s="242">
        <f t="shared" si="0"/>
        <v>14396.25</v>
      </c>
      <c r="F15" s="242">
        <v>23202</v>
      </c>
      <c r="G15" s="248">
        <v>0</v>
      </c>
      <c r="H15" s="242">
        <f t="shared" si="1"/>
        <v>23202</v>
      </c>
      <c r="I15" s="95" t="s">
        <v>102</v>
      </c>
      <c r="J15" s="95" t="s">
        <v>102</v>
      </c>
      <c r="K15" s="95" t="s">
        <v>102</v>
      </c>
      <c r="L15" s="95" t="s">
        <v>102</v>
      </c>
      <c r="M15" s="95" t="s">
        <v>102</v>
      </c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</row>
    <row r="16" spans="1:229" ht="18.5" x14ac:dyDescent="0.45">
      <c r="A16" s="269" t="s">
        <v>51</v>
      </c>
      <c r="B16" s="242">
        <v>26716</v>
      </c>
      <c r="C16" s="242">
        <f>11637-Page_26!B17</f>
        <v>10909.6875</v>
      </c>
      <c r="D16" s="248">
        <v>0</v>
      </c>
      <c r="E16" s="242">
        <f t="shared" si="0"/>
        <v>10909.6875</v>
      </c>
      <c r="F16" s="242">
        <v>17203</v>
      </c>
      <c r="G16" s="248">
        <v>0</v>
      </c>
      <c r="H16" s="242">
        <f t="shared" si="1"/>
        <v>17203</v>
      </c>
      <c r="I16" s="95" t="s">
        <v>102</v>
      </c>
      <c r="J16" s="95" t="s">
        <v>102</v>
      </c>
      <c r="K16" s="95" t="s">
        <v>102</v>
      </c>
      <c r="L16" s="95" t="s">
        <v>102</v>
      </c>
      <c r="M16" s="95" t="s">
        <v>102</v>
      </c>
      <c r="N16" s="20"/>
      <c r="O16" s="20"/>
      <c r="P16" s="20"/>
      <c r="Q16" s="20"/>
      <c r="R16" s="20"/>
      <c r="S16" s="20"/>
      <c r="T16" s="20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</row>
    <row r="17" spans="1:229" ht="18.5" x14ac:dyDescent="0.45">
      <c r="A17" s="269" t="s">
        <v>52</v>
      </c>
      <c r="B17" s="242">
        <v>35815</v>
      </c>
      <c r="C17" s="242">
        <f>13978-Page_26!B18</f>
        <v>13104.375</v>
      </c>
      <c r="D17" s="248">
        <v>0</v>
      </c>
      <c r="E17" s="242">
        <f t="shared" si="0"/>
        <v>13104.375</v>
      </c>
      <c r="F17" s="242">
        <v>22495</v>
      </c>
      <c r="G17" s="248">
        <v>0</v>
      </c>
      <c r="H17" s="242">
        <f t="shared" si="1"/>
        <v>22495</v>
      </c>
      <c r="I17" s="95" t="s">
        <v>102</v>
      </c>
      <c r="J17" s="95" t="s">
        <v>102</v>
      </c>
      <c r="K17" s="95" t="s">
        <v>102</v>
      </c>
      <c r="L17" s="95" t="s">
        <v>102</v>
      </c>
      <c r="M17" s="95" t="s">
        <v>102</v>
      </c>
      <c r="N17" s="20"/>
      <c r="O17" s="20"/>
      <c r="P17" s="20"/>
      <c r="Q17" s="20"/>
      <c r="R17" s="20"/>
      <c r="S17" s="20"/>
      <c r="T17" s="20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</row>
    <row r="18" spans="1:229" ht="18.5" x14ac:dyDescent="0.45">
      <c r="A18" s="269" t="s">
        <v>53</v>
      </c>
      <c r="B18" s="242">
        <v>48563</v>
      </c>
      <c r="C18" s="242">
        <f>17359-Page_26!B19</f>
        <v>16274.0625</v>
      </c>
      <c r="D18" s="248">
        <v>0</v>
      </c>
      <c r="E18" s="242">
        <f t="shared" si="0"/>
        <v>16274.0625</v>
      </c>
      <c r="F18" s="242">
        <v>24096</v>
      </c>
      <c r="G18" s="248">
        <v>0</v>
      </c>
      <c r="H18" s="242">
        <f t="shared" si="1"/>
        <v>24096</v>
      </c>
      <c r="I18" s="95" t="s">
        <v>102</v>
      </c>
      <c r="J18" s="95" t="s">
        <v>102</v>
      </c>
      <c r="K18" s="95" t="s">
        <v>102</v>
      </c>
      <c r="L18" s="95" t="s">
        <v>102</v>
      </c>
      <c r="M18" s="95" t="s">
        <v>102</v>
      </c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</row>
    <row r="19" spans="1:229" ht="18.5" x14ac:dyDescent="0.45">
      <c r="A19" s="269" t="s">
        <v>54</v>
      </c>
      <c r="B19" s="242">
        <v>34285</v>
      </c>
      <c r="C19" s="242">
        <f>13355-Page_26!B20</f>
        <v>12520.3125</v>
      </c>
      <c r="D19" s="242">
        <v>27000</v>
      </c>
      <c r="E19" s="242">
        <f t="shared" si="0"/>
        <v>39520.3125</v>
      </c>
      <c r="F19" s="242">
        <v>17080</v>
      </c>
      <c r="G19" s="242">
        <v>29520</v>
      </c>
      <c r="H19" s="242">
        <f t="shared" si="1"/>
        <v>46600</v>
      </c>
      <c r="I19" s="95" t="s">
        <v>102</v>
      </c>
      <c r="J19" s="95" t="s">
        <v>102</v>
      </c>
      <c r="K19" s="95" t="s">
        <v>102</v>
      </c>
      <c r="L19" s="95" t="s">
        <v>102</v>
      </c>
      <c r="M19" s="95" t="s">
        <v>102</v>
      </c>
      <c r="N19" s="20"/>
      <c r="O19" s="20"/>
      <c r="P19" s="20"/>
      <c r="Q19" s="20"/>
      <c r="R19" s="20"/>
      <c r="S19" s="20"/>
      <c r="T19" s="20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</row>
    <row r="20" spans="1:229" ht="18.5" x14ac:dyDescent="0.45">
      <c r="A20" s="269" t="s">
        <v>55</v>
      </c>
      <c r="B20" s="242">
        <v>36537</v>
      </c>
      <c r="C20" s="242">
        <f>17797-Page_26!B21</f>
        <v>16684.6875</v>
      </c>
      <c r="D20" s="248">
        <v>0</v>
      </c>
      <c r="E20" s="242">
        <f t="shared" si="0"/>
        <v>16684.6875</v>
      </c>
      <c r="F20" s="242">
        <v>24808</v>
      </c>
      <c r="G20" s="248">
        <v>0</v>
      </c>
      <c r="H20" s="242">
        <f t="shared" si="1"/>
        <v>24808</v>
      </c>
      <c r="I20" s="95" t="s">
        <v>102</v>
      </c>
      <c r="J20" s="95" t="s">
        <v>102</v>
      </c>
      <c r="K20" s="95" t="s">
        <v>102</v>
      </c>
      <c r="L20" s="95" t="s">
        <v>102</v>
      </c>
      <c r="M20" s="95" t="s">
        <v>102</v>
      </c>
      <c r="N20" s="20"/>
      <c r="O20" s="20"/>
      <c r="P20" s="20"/>
      <c r="Q20" s="20"/>
      <c r="R20" s="20"/>
      <c r="S20" s="20"/>
      <c r="T20" s="20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</row>
    <row r="21" spans="1:229" ht="18.5" x14ac:dyDescent="0.45">
      <c r="A21" s="269" t="s">
        <v>56</v>
      </c>
      <c r="B21" s="242">
        <v>23416</v>
      </c>
      <c r="C21" s="242">
        <f>5291-Page_26!B22</f>
        <v>4960.3125</v>
      </c>
      <c r="D21" s="242">
        <v>29589</v>
      </c>
      <c r="E21" s="242">
        <f t="shared" si="0"/>
        <v>34549.3125</v>
      </c>
      <c r="F21" s="242">
        <v>14734</v>
      </c>
      <c r="G21" s="242">
        <v>22820</v>
      </c>
      <c r="H21" s="242">
        <f t="shared" si="1"/>
        <v>37554</v>
      </c>
      <c r="I21" s="95" t="s">
        <v>102</v>
      </c>
      <c r="J21" s="95" t="s">
        <v>102</v>
      </c>
      <c r="K21" s="95" t="s">
        <v>102</v>
      </c>
      <c r="L21" s="95" t="s">
        <v>102</v>
      </c>
      <c r="M21" s="95" t="s">
        <v>102</v>
      </c>
      <c r="N21" s="20"/>
      <c r="O21" s="20"/>
      <c r="P21" s="20"/>
      <c r="Q21" s="20"/>
      <c r="R21" s="20"/>
      <c r="S21" s="20"/>
      <c r="T21" s="20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</row>
    <row r="22" spans="1:229" ht="18.5" x14ac:dyDescent="0.45">
      <c r="A22" s="269" t="s">
        <v>57</v>
      </c>
      <c r="B22" s="242">
        <v>43215</v>
      </c>
      <c r="C22" s="242">
        <f>25947-Page_26!B23</f>
        <v>24325.3125</v>
      </c>
      <c r="D22" s="242">
        <v>17811</v>
      </c>
      <c r="E22" s="242">
        <f t="shared" si="0"/>
        <v>42136.3125</v>
      </c>
      <c r="F22" s="242">
        <v>25343</v>
      </c>
      <c r="G22" s="242">
        <v>27957</v>
      </c>
      <c r="H22" s="242">
        <f t="shared" si="1"/>
        <v>53300</v>
      </c>
      <c r="I22" s="95" t="s">
        <v>102</v>
      </c>
      <c r="J22" s="95" t="s">
        <v>102</v>
      </c>
      <c r="K22" s="95" t="s">
        <v>102</v>
      </c>
      <c r="L22" s="95" t="s">
        <v>102</v>
      </c>
      <c r="M22" s="95" t="s">
        <v>102</v>
      </c>
      <c r="N22" s="20"/>
      <c r="O22" s="20"/>
      <c r="P22" s="20"/>
      <c r="Q22" s="20"/>
      <c r="R22" s="20"/>
      <c r="S22" s="20"/>
      <c r="T22" s="20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</row>
    <row r="23" spans="1:229" ht="18.5" x14ac:dyDescent="0.45">
      <c r="A23" s="269" t="s">
        <v>58</v>
      </c>
      <c r="B23" s="242">
        <v>30390</v>
      </c>
      <c r="C23" s="242">
        <f>13822-Page_26!B24</f>
        <v>12958.125</v>
      </c>
      <c r="D23" s="242">
        <v>17460</v>
      </c>
      <c r="E23" s="242">
        <f t="shared" si="0"/>
        <v>30418.125</v>
      </c>
      <c r="F23" s="242">
        <v>18340</v>
      </c>
      <c r="G23" s="242">
        <v>21568</v>
      </c>
      <c r="H23" s="242">
        <f t="shared" si="1"/>
        <v>39908</v>
      </c>
      <c r="I23" s="20" t="s">
        <v>102</v>
      </c>
      <c r="J23" s="95" t="s">
        <v>102</v>
      </c>
      <c r="K23" s="20" t="s">
        <v>102</v>
      </c>
      <c r="L23" s="95" t="s">
        <v>102</v>
      </c>
      <c r="M23" s="20" t="s">
        <v>102</v>
      </c>
      <c r="N23" s="95"/>
      <c r="O23" s="20"/>
      <c r="P23" s="95"/>
      <c r="Q23" s="20"/>
      <c r="R23" s="95"/>
      <c r="S23" s="20"/>
      <c r="T23" s="95"/>
      <c r="U23" s="22"/>
      <c r="V23" s="96"/>
      <c r="W23" s="22"/>
      <c r="X23" s="96"/>
      <c r="Y23" s="22"/>
      <c r="Z23" s="96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</row>
    <row r="24" spans="1:229" ht="18.5" x14ac:dyDescent="0.45">
      <c r="A24" s="269" t="s">
        <v>59</v>
      </c>
      <c r="B24" s="242">
        <v>28992</v>
      </c>
      <c r="C24" s="242">
        <f>13195-Page_26!B25</f>
        <v>12370.3125</v>
      </c>
      <c r="D24" s="242">
        <v>3000</v>
      </c>
      <c r="E24" s="242">
        <f t="shared" si="0"/>
        <v>15370.3125</v>
      </c>
      <c r="F24" s="242">
        <v>12358</v>
      </c>
      <c r="G24" s="242">
        <v>3280</v>
      </c>
      <c r="H24" s="242">
        <f t="shared" si="1"/>
        <v>15638</v>
      </c>
      <c r="I24" s="95" t="s">
        <v>102</v>
      </c>
      <c r="J24" s="20" t="s">
        <v>102</v>
      </c>
      <c r="K24" s="95" t="s">
        <v>102</v>
      </c>
      <c r="L24" s="20" t="s">
        <v>102</v>
      </c>
      <c r="M24" s="95" t="s">
        <v>102</v>
      </c>
      <c r="N24" s="20"/>
      <c r="O24" s="95"/>
      <c r="P24" s="20"/>
      <c r="Q24" s="20"/>
      <c r="R24" s="20"/>
      <c r="S24" s="20"/>
      <c r="T24" s="20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</row>
    <row r="25" spans="1:229" ht="18.5" x14ac:dyDescent="0.45">
      <c r="A25" s="269" t="s">
        <v>111</v>
      </c>
      <c r="B25" s="242">
        <v>37039</v>
      </c>
      <c r="C25" s="242">
        <f>19611-Page_26!B26</f>
        <v>18385.3125</v>
      </c>
      <c r="D25" s="242">
        <v>6000</v>
      </c>
      <c r="E25" s="242">
        <f t="shared" si="0"/>
        <v>24385.3125</v>
      </c>
      <c r="F25" s="242">
        <v>28678</v>
      </c>
      <c r="G25" s="242">
        <v>6560</v>
      </c>
      <c r="H25" s="242">
        <f t="shared" si="1"/>
        <v>35238</v>
      </c>
      <c r="I25" s="95"/>
      <c r="J25" s="20"/>
      <c r="K25" s="95"/>
      <c r="L25" s="20"/>
      <c r="M25" s="95"/>
      <c r="N25" s="20"/>
      <c r="O25" s="95"/>
      <c r="P25" s="20"/>
      <c r="Q25" s="20"/>
      <c r="R25" s="20"/>
      <c r="S25" s="20"/>
      <c r="T25" s="20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</row>
    <row r="26" spans="1:229" ht="18.5" x14ac:dyDescent="0.45">
      <c r="A26" s="269" t="s">
        <v>60</v>
      </c>
      <c r="B26" s="242">
        <v>51537</v>
      </c>
      <c r="C26" s="242">
        <f>15673-Page_26!B27</f>
        <v>14693.4375</v>
      </c>
      <c r="D26" s="242">
        <v>8154</v>
      </c>
      <c r="E26" s="242">
        <f t="shared" si="0"/>
        <v>22847.4375</v>
      </c>
      <c r="F26" s="242">
        <v>20712</v>
      </c>
      <c r="G26" s="242">
        <v>19337</v>
      </c>
      <c r="H26" s="242">
        <f t="shared" si="1"/>
        <v>40049</v>
      </c>
      <c r="I26" s="95" t="s">
        <v>102</v>
      </c>
      <c r="J26" s="20" t="s">
        <v>102</v>
      </c>
      <c r="K26" s="95" t="s">
        <v>102</v>
      </c>
      <c r="L26" s="20" t="s">
        <v>102</v>
      </c>
      <c r="M26" s="95" t="s">
        <v>102</v>
      </c>
      <c r="N26" s="20"/>
      <c r="O26" s="95"/>
      <c r="P26" s="20"/>
      <c r="Q26" s="20"/>
      <c r="R26" s="20"/>
      <c r="S26" s="20"/>
      <c r="T26" s="20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</row>
    <row r="27" spans="1:229" ht="18.5" x14ac:dyDescent="0.45">
      <c r="A27" s="270" t="s">
        <v>61</v>
      </c>
      <c r="B27" s="242">
        <v>37124</v>
      </c>
      <c r="C27" s="242">
        <f>15518-Page_26!B28</f>
        <v>14548.125</v>
      </c>
      <c r="D27" s="242">
        <v>2100</v>
      </c>
      <c r="E27" s="242">
        <f t="shared" si="0"/>
        <v>16648.125</v>
      </c>
      <c r="F27" s="242">
        <v>22367</v>
      </c>
      <c r="G27" s="242">
        <v>1640</v>
      </c>
      <c r="H27" s="242">
        <f t="shared" si="1"/>
        <v>24007</v>
      </c>
      <c r="I27" s="95" t="s">
        <v>102</v>
      </c>
      <c r="J27" s="20" t="s">
        <v>102</v>
      </c>
      <c r="K27" s="95" t="s">
        <v>102</v>
      </c>
      <c r="L27" s="20" t="s">
        <v>102</v>
      </c>
      <c r="M27" s="95" t="s">
        <v>102</v>
      </c>
      <c r="N27" s="20"/>
      <c r="O27" s="95"/>
      <c r="P27" s="20"/>
      <c r="Q27" s="20"/>
      <c r="R27" s="20"/>
      <c r="S27" s="20"/>
      <c r="T27" s="20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</row>
    <row r="28" spans="1:229" ht="18.5" x14ac:dyDescent="0.45">
      <c r="A28" s="270" t="s">
        <v>62</v>
      </c>
      <c r="B28" s="242">
        <v>37731</v>
      </c>
      <c r="C28" s="242">
        <f>17324-Page_26!B29</f>
        <v>16241.25</v>
      </c>
      <c r="D28" s="242">
        <v>2743</v>
      </c>
      <c r="E28" s="242">
        <f t="shared" si="0"/>
        <v>18984.25</v>
      </c>
      <c r="F28" s="242">
        <v>21188</v>
      </c>
      <c r="G28" s="242">
        <v>2999</v>
      </c>
      <c r="H28" s="242">
        <f t="shared" si="1"/>
        <v>24187</v>
      </c>
      <c r="I28" s="95" t="s">
        <v>102</v>
      </c>
      <c r="J28" s="20" t="s">
        <v>102</v>
      </c>
      <c r="K28" s="95" t="s">
        <v>102</v>
      </c>
      <c r="L28" s="20" t="s">
        <v>102</v>
      </c>
      <c r="M28" s="95" t="s">
        <v>102</v>
      </c>
      <c r="N28" s="20"/>
      <c r="O28" s="95"/>
      <c r="P28" s="20"/>
      <c r="Q28" s="20"/>
      <c r="R28" s="20"/>
      <c r="S28" s="20"/>
      <c r="T28" s="20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</row>
    <row r="29" spans="1:229" ht="18.5" x14ac:dyDescent="0.45">
      <c r="A29" s="270" t="s">
        <v>63</v>
      </c>
      <c r="B29" s="242">
        <v>35039</v>
      </c>
      <c r="C29" s="242">
        <f>16716-Page_26!B30</f>
        <v>15671.25</v>
      </c>
      <c r="D29" s="242">
        <v>10704</v>
      </c>
      <c r="E29" s="242">
        <f t="shared" si="0"/>
        <v>26375.25</v>
      </c>
      <c r="F29" s="242">
        <v>21651</v>
      </c>
      <c r="G29" s="242">
        <v>9497</v>
      </c>
      <c r="H29" s="242">
        <f t="shared" si="1"/>
        <v>31148</v>
      </c>
      <c r="I29" s="95" t="s">
        <v>102</v>
      </c>
      <c r="J29" s="20" t="s">
        <v>102</v>
      </c>
      <c r="K29" s="95" t="s">
        <v>102</v>
      </c>
      <c r="L29" s="20" t="s">
        <v>102</v>
      </c>
      <c r="M29" s="95" t="s">
        <v>102</v>
      </c>
      <c r="N29" s="20"/>
      <c r="O29" s="95"/>
      <c r="P29" s="20"/>
      <c r="Q29" s="20"/>
      <c r="R29" s="20"/>
      <c r="S29" s="20"/>
      <c r="T29" s="20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</row>
    <row r="30" spans="1:229" ht="18.5" x14ac:dyDescent="0.45">
      <c r="A30" s="270" t="s">
        <v>64</v>
      </c>
      <c r="B30" s="242">
        <v>49042</v>
      </c>
      <c r="C30" s="242">
        <f>16138-Page_26!B31</f>
        <v>15129.375</v>
      </c>
      <c r="D30" s="242">
        <v>1500</v>
      </c>
      <c r="E30" s="242">
        <f t="shared" si="0"/>
        <v>16629.375</v>
      </c>
      <c r="F30" s="242">
        <v>21822</v>
      </c>
      <c r="G30" s="242">
        <v>2624</v>
      </c>
      <c r="H30" s="242">
        <f t="shared" si="1"/>
        <v>24446</v>
      </c>
      <c r="I30" s="95" t="s">
        <v>102</v>
      </c>
      <c r="J30" s="95" t="s">
        <v>102</v>
      </c>
      <c r="K30" s="95" t="s">
        <v>102</v>
      </c>
      <c r="L30" s="95" t="s">
        <v>102</v>
      </c>
      <c r="M30" s="95" t="s">
        <v>102</v>
      </c>
      <c r="N30" s="20"/>
      <c r="O30" s="20"/>
      <c r="P30" s="20"/>
      <c r="Q30" s="20"/>
      <c r="R30" s="20"/>
      <c r="S30" s="20"/>
      <c r="T30" s="20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</row>
    <row r="31" spans="1:229" ht="18.5" x14ac:dyDescent="0.45">
      <c r="A31" s="270" t="s">
        <v>65</v>
      </c>
      <c r="B31" s="242">
        <v>32162</v>
      </c>
      <c r="C31" s="242">
        <f>16928-Page_26!B32</f>
        <v>15870</v>
      </c>
      <c r="D31" s="242">
        <v>15914</v>
      </c>
      <c r="E31" s="242">
        <f t="shared" si="0"/>
        <v>31784</v>
      </c>
      <c r="F31" s="242">
        <v>21294</v>
      </c>
      <c r="G31" s="242">
        <v>22610</v>
      </c>
      <c r="H31" s="242">
        <f t="shared" si="1"/>
        <v>43904</v>
      </c>
      <c r="I31" s="95" t="s">
        <v>102</v>
      </c>
      <c r="J31" s="95" t="s">
        <v>102</v>
      </c>
      <c r="K31" s="95" t="s">
        <v>102</v>
      </c>
      <c r="L31" s="95" t="s">
        <v>102</v>
      </c>
      <c r="M31" s="95" t="s">
        <v>102</v>
      </c>
      <c r="N31" s="20"/>
      <c r="O31" s="20"/>
      <c r="P31" s="20"/>
      <c r="Q31" s="20"/>
      <c r="R31" s="20"/>
      <c r="S31" s="20"/>
      <c r="T31" s="20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</row>
    <row r="32" spans="1:229" ht="18.5" x14ac:dyDescent="0.45">
      <c r="A32" s="270" t="s">
        <v>66</v>
      </c>
      <c r="B32" s="242">
        <v>34213</v>
      </c>
      <c r="C32" s="242">
        <f>15618-Page_26!B33</f>
        <v>14641.875</v>
      </c>
      <c r="D32" s="242">
        <v>14010</v>
      </c>
      <c r="E32" s="242">
        <f t="shared" si="0"/>
        <v>28651.875</v>
      </c>
      <c r="F32" s="242">
        <v>22828</v>
      </c>
      <c r="G32" s="242">
        <v>20191</v>
      </c>
      <c r="H32" s="242">
        <f t="shared" si="1"/>
        <v>43019</v>
      </c>
      <c r="I32" s="95" t="s">
        <v>102</v>
      </c>
      <c r="J32" s="95" t="s">
        <v>102</v>
      </c>
      <c r="K32" s="95" t="s">
        <v>102</v>
      </c>
      <c r="L32" s="95" t="s">
        <v>102</v>
      </c>
      <c r="M32" s="95" t="s">
        <v>102</v>
      </c>
      <c r="N32" s="20"/>
      <c r="O32" s="20"/>
      <c r="P32" s="20"/>
      <c r="Q32" s="20"/>
      <c r="R32" s="20"/>
      <c r="S32" s="20"/>
      <c r="T32" s="20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</row>
    <row r="33" spans="1:229" ht="18.5" x14ac:dyDescent="0.45">
      <c r="A33" s="269" t="s">
        <v>67</v>
      </c>
      <c r="B33" s="242">
        <v>26652</v>
      </c>
      <c r="C33" s="242">
        <f>10784-Page_26!B34</f>
        <v>10110</v>
      </c>
      <c r="D33" s="243">
        <v>0</v>
      </c>
      <c r="E33" s="242">
        <f t="shared" si="0"/>
        <v>10110</v>
      </c>
      <c r="F33" s="242">
        <v>11770</v>
      </c>
      <c r="G33" s="243">
        <v>0</v>
      </c>
      <c r="H33" s="242">
        <f t="shared" si="1"/>
        <v>11770</v>
      </c>
      <c r="I33" s="95" t="s">
        <v>102</v>
      </c>
      <c r="J33" s="95" t="s">
        <v>102</v>
      </c>
      <c r="K33" s="95" t="s">
        <v>102</v>
      </c>
      <c r="L33" s="95" t="s">
        <v>102</v>
      </c>
      <c r="M33" s="95" t="s">
        <v>102</v>
      </c>
      <c r="N33" s="20"/>
      <c r="O33" s="20"/>
      <c r="P33" s="20"/>
      <c r="Q33" s="20"/>
      <c r="R33" s="20"/>
      <c r="S33" s="20"/>
      <c r="T33" s="20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</row>
    <row r="34" spans="1:229" ht="18.5" x14ac:dyDescent="0.45">
      <c r="A34" s="269" t="s">
        <v>68</v>
      </c>
      <c r="B34" s="242">
        <v>37027</v>
      </c>
      <c r="C34" s="242">
        <f>13886-Page_26!B35</f>
        <v>13018.125</v>
      </c>
      <c r="D34" s="242">
        <v>1500</v>
      </c>
      <c r="E34" s="242">
        <f t="shared" si="0"/>
        <v>14518.125</v>
      </c>
      <c r="F34" s="242">
        <v>21201</v>
      </c>
      <c r="G34" s="242">
        <v>1640</v>
      </c>
      <c r="H34" s="242">
        <f t="shared" si="1"/>
        <v>22841</v>
      </c>
      <c r="I34" s="95" t="s">
        <v>102</v>
      </c>
      <c r="J34" s="95" t="s">
        <v>102</v>
      </c>
      <c r="K34" s="95" t="s">
        <v>102</v>
      </c>
      <c r="L34" s="95" t="s">
        <v>102</v>
      </c>
      <c r="M34" s="95" t="s">
        <v>102</v>
      </c>
      <c r="N34" s="20"/>
      <c r="O34" s="20"/>
      <c r="P34" s="20"/>
      <c r="Q34" s="20"/>
      <c r="R34" s="20"/>
      <c r="S34" s="20"/>
      <c r="T34" s="20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</row>
    <row r="35" spans="1:229" ht="18.5" x14ac:dyDescent="0.45">
      <c r="A35" s="269" t="s">
        <v>69</v>
      </c>
      <c r="B35" s="242">
        <v>32059</v>
      </c>
      <c r="C35" s="242">
        <f>17755-Page_26!B36</f>
        <v>16645.3125</v>
      </c>
      <c r="D35" s="242">
        <v>9010</v>
      </c>
      <c r="E35" s="242">
        <f t="shared" si="0"/>
        <v>25655.3125</v>
      </c>
      <c r="F35" s="242">
        <v>20290</v>
      </c>
      <c r="G35" s="242">
        <v>10207</v>
      </c>
      <c r="H35" s="242">
        <f t="shared" si="1"/>
        <v>30497</v>
      </c>
      <c r="I35" s="95" t="s">
        <v>102</v>
      </c>
      <c r="J35" s="95" t="s">
        <v>102</v>
      </c>
      <c r="K35" s="95" t="s">
        <v>102</v>
      </c>
      <c r="L35" s="95" t="s">
        <v>102</v>
      </c>
      <c r="M35" s="95" t="s">
        <v>102</v>
      </c>
      <c r="N35" s="20"/>
      <c r="O35" s="20"/>
      <c r="P35" s="20"/>
      <c r="Q35" s="20"/>
      <c r="R35" s="20"/>
      <c r="S35" s="20"/>
      <c r="T35" s="20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</row>
    <row r="36" spans="1:229" ht="18.5" x14ac:dyDescent="0.45">
      <c r="A36" s="270" t="s">
        <v>70</v>
      </c>
      <c r="B36" s="242">
        <v>40628</v>
      </c>
      <c r="C36" s="242">
        <f>27237-Page_26!B37</f>
        <v>25534.6875</v>
      </c>
      <c r="D36" s="242">
        <v>7918</v>
      </c>
      <c r="E36" s="242">
        <f t="shared" si="0"/>
        <v>33452.6875</v>
      </c>
      <c r="F36" s="242">
        <v>24935</v>
      </c>
      <c r="G36" s="242">
        <v>16026</v>
      </c>
      <c r="H36" s="242">
        <f t="shared" si="1"/>
        <v>40961</v>
      </c>
      <c r="I36" s="95" t="s">
        <v>102</v>
      </c>
      <c r="J36" s="95" t="s">
        <v>102</v>
      </c>
      <c r="K36" s="95" t="s">
        <v>102</v>
      </c>
      <c r="L36" s="95" t="s">
        <v>102</v>
      </c>
      <c r="M36" s="95" t="s">
        <v>102</v>
      </c>
      <c r="N36" s="20"/>
      <c r="O36" s="20"/>
      <c r="P36" s="20"/>
      <c r="Q36" s="20"/>
      <c r="R36" s="20"/>
      <c r="S36" s="20"/>
      <c r="T36" s="20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</row>
    <row r="37" spans="1:229" ht="18.5" x14ac:dyDescent="0.45">
      <c r="A37" s="269" t="s">
        <v>71</v>
      </c>
      <c r="B37" s="242">
        <v>38060</v>
      </c>
      <c r="C37" s="242">
        <f>12219-Page_26!B38</f>
        <v>11455.3125</v>
      </c>
      <c r="D37" s="242">
        <v>3487</v>
      </c>
      <c r="E37" s="242">
        <f t="shared" si="0"/>
        <v>14942.3125</v>
      </c>
      <c r="F37" s="242">
        <v>18820</v>
      </c>
      <c r="G37" s="242">
        <v>14158</v>
      </c>
      <c r="H37" s="242">
        <f t="shared" si="1"/>
        <v>32978</v>
      </c>
      <c r="I37" s="95" t="s">
        <v>102</v>
      </c>
      <c r="J37" s="95" t="s">
        <v>102</v>
      </c>
      <c r="K37" s="95" t="s">
        <v>102</v>
      </c>
      <c r="L37" s="95" t="s">
        <v>102</v>
      </c>
      <c r="M37" s="95" t="s">
        <v>102</v>
      </c>
      <c r="N37" s="20"/>
      <c r="O37" s="20"/>
      <c r="P37" s="20"/>
      <c r="Q37" s="20"/>
      <c r="R37" s="20"/>
      <c r="S37" s="20"/>
      <c r="T37" s="20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</row>
    <row r="38" spans="1:229" ht="18.5" x14ac:dyDescent="0.45">
      <c r="A38" s="269" t="s">
        <v>72</v>
      </c>
      <c r="B38" s="242">
        <v>20489</v>
      </c>
      <c r="C38" s="242">
        <f>12698-Page_26!B39</f>
        <v>11904.375</v>
      </c>
      <c r="D38" s="242">
        <v>2568</v>
      </c>
      <c r="E38" s="242">
        <f t="shared" si="0"/>
        <v>14472.375</v>
      </c>
      <c r="F38" s="242">
        <v>17995</v>
      </c>
      <c r="G38" s="242">
        <v>38</v>
      </c>
      <c r="H38" s="242">
        <f t="shared" si="1"/>
        <v>18033</v>
      </c>
      <c r="I38" s="95" t="s">
        <v>102</v>
      </c>
      <c r="J38" s="95" t="s">
        <v>102</v>
      </c>
      <c r="K38" s="95" t="s">
        <v>102</v>
      </c>
      <c r="L38" s="95" t="s">
        <v>102</v>
      </c>
      <c r="M38" s="95" t="s">
        <v>102</v>
      </c>
      <c r="N38" s="20"/>
      <c r="O38" s="20"/>
      <c r="P38" s="20"/>
      <c r="Q38" s="20"/>
      <c r="R38" s="20"/>
      <c r="S38" s="20"/>
      <c r="T38" s="20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</row>
    <row r="39" spans="1:229" ht="18.5" x14ac:dyDescent="0.45">
      <c r="A39" s="269" t="s">
        <v>73</v>
      </c>
      <c r="B39" s="242">
        <v>30705</v>
      </c>
      <c r="C39" s="242">
        <v>10756.875</v>
      </c>
      <c r="D39" s="243">
        <v>0</v>
      </c>
      <c r="E39" s="242">
        <f t="shared" ref="E39:E56" si="2">SUM(C39:D39)</f>
        <v>10756.875</v>
      </c>
      <c r="F39" s="242">
        <v>13587</v>
      </c>
      <c r="G39" s="243">
        <v>0</v>
      </c>
      <c r="H39" s="242">
        <f t="shared" ref="H39:H56" si="3">SUM(F39:G39)</f>
        <v>13587</v>
      </c>
      <c r="I39" s="95" t="s">
        <v>102</v>
      </c>
      <c r="J39" s="95" t="s">
        <v>102</v>
      </c>
      <c r="K39" s="95" t="s">
        <v>102</v>
      </c>
      <c r="L39" s="95" t="s">
        <v>102</v>
      </c>
      <c r="M39" s="95" t="s">
        <v>102</v>
      </c>
      <c r="N39" s="20"/>
      <c r="O39" s="20"/>
      <c r="P39" s="20"/>
      <c r="Q39" s="20"/>
      <c r="R39" s="20"/>
      <c r="S39" s="20"/>
      <c r="T39" s="20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</row>
    <row r="40" spans="1:229" ht="18.5" x14ac:dyDescent="0.45">
      <c r="A40" s="269" t="s">
        <v>74</v>
      </c>
      <c r="B40" s="242">
        <v>4890</v>
      </c>
      <c r="C40" s="242">
        <v>1388</v>
      </c>
      <c r="D40" s="243">
        <v>0</v>
      </c>
      <c r="E40" s="242">
        <f t="shared" si="2"/>
        <v>1388</v>
      </c>
      <c r="F40" s="242">
        <v>5271</v>
      </c>
      <c r="G40" s="243">
        <v>0</v>
      </c>
      <c r="H40" s="242">
        <f t="shared" si="3"/>
        <v>5271</v>
      </c>
      <c r="I40" s="95" t="s">
        <v>102</v>
      </c>
      <c r="J40" s="95" t="s">
        <v>102</v>
      </c>
      <c r="K40" s="95" t="s">
        <v>102</v>
      </c>
      <c r="L40" s="95" t="s">
        <v>102</v>
      </c>
      <c r="M40" s="95" t="s">
        <v>102</v>
      </c>
      <c r="N40" s="20"/>
      <c r="O40" s="20"/>
      <c r="P40" s="20"/>
      <c r="Q40" s="20"/>
      <c r="R40" s="20"/>
      <c r="S40" s="20"/>
      <c r="T40" s="20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</row>
    <row r="41" spans="1:229" ht="18.5" x14ac:dyDescent="0.45">
      <c r="A41" s="269" t="s">
        <v>75</v>
      </c>
      <c r="B41" s="242">
        <v>3676</v>
      </c>
      <c r="C41" s="243">
        <v>0</v>
      </c>
      <c r="D41" s="243">
        <v>0</v>
      </c>
      <c r="E41" s="243">
        <f t="shared" si="2"/>
        <v>0</v>
      </c>
      <c r="F41" s="242">
        <v>182</v>
      </c>
      <c r="G41" s="243">
        <v>0</v>
      </c>
      <c r="H41" s="242">
        <f t="shared" si="3"/>
        <v>182</v>
      </c>
      <c r="I41" s="95" t="s">
        <v>102</v>
      </c>
      <c r="J41" s="95" t="s">
        <v>102</v>
      </c>
      <c r="K41" s="95" t="s">
        <v>102</v>
      </c>
      <c r="L41" s="95" t="s">
        <v>102</v>
      </c>
      <c r="M41" s="95" t="s">
        <v>102</v>
      </c>
      <c r="N41" s="20"/>
      <c r="O41" s="20"/>
      <c r="P41" s="20"/>
      <c r="Q41" s="20"/>
      <c r="R41" s="20"/>
      <c r="S41" s="20"/>
      <c r="T41" s="20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</row>
    <row r="42" spans="1:229" ht="18.5" x14ac:dyDescent="0.45">
      <c r="A42" s="269" t="s">
        <v>76</v>
      </c>
      <c r="B42" s="242">
        <v>21904</v>
      </c>
      <c r="C42" s="242">
        <v>11180</v>
      </c>
      <c r="D42" s="242">
        <v>2100</v>
      </c>
      <c r="E42" s="242">
        <f t="shared" si="2"/>
        <v>13280</v>
      </c>
      <c r="F42" s="242">
        <v>11194</v>
      </c>
      <c r="G42" s="242">
        <v>2296</v>
      </c>
      <c r="H42" s="242">
        <f t="shared" si="3"/>
        <v>13490</v>
      </c>
      <c r="I42" s="95" t="s">
        <v>102</v>
      </c>
      <c r="J42" s="95" t="s">
        <v>102</v>
      </c>
      <c r="K42" s="95" t="s">
        <v>102</v>
      </c>
      <c r="L42" s="95" t="s">
        <v>102</v>
      </c>
      <c r="M42" s="95" t="s">
        <v>102</v>
      </c>
      <c r="N42" s="20"/>
      <c r="O42" s="20"/>
      <c r="P42" s="20"/>
      <c r="Q42" s="20"/>
      <c r="R42" s="20"/>
      <c r="S42" s="20"/>
      <c r="T42" s="20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</row>
    <row r="43" spans="1:229" ht="18.5" x14ac:dyDescent="0.45">
      <c r="A43" s="269" t="s">
        <v>77</v>
      </c>
      <c r="B43" s="242">
        <v>21054</v>
      </c>
      <c r="C43" s="242">
        <v>14883</v>
      </c>
      <c r="D43" s="242">
        <v>11226</v>
      </c>
      <c r="E43" s="242">
        <f t="shared" si="2"/>
        <v>26109</v>
      </c>
      <c r="F43" s="242">
        <v>15697</v>
      </c>
      <c r="G43" s="242">
        <v>16593</v>
      </c>
      <c r="H43" s="242">
        <f t="shared" si="3"/>
        <v>32290</v>
      </c>
      <c r="I43" s="95" t="s">
        <v>102</v>
      </c>
      <c r="J43" s="95" t="s">
        <v>102</v>
      </c>
      <c r="K43" s="95" t="s">
        <v>102</v>
      </c>
      <c r="L43" s="95" t="s">
        <v>102</v>
      </c>
      <c r="M43" s="95" t="s">
        <v>102</v>
      </c>
      <c r="N43" s="20"/>
      <c r="O43" s="20"/>
      <c r="P43" s="20"/>
      <c r="Q43" s="20"/>
      <c r="R43" s="20"/>
      <c r="S43" s="20"/>
      <c r="T43" s="20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</row>
    <row r="44" spans="1:229" ht="18.5" x14ac:dyDescent="0.45">
      <c r="A44" s="269" t="s">
        <v>78</v>
      </c>
      <c r="B44" s="242">
        <v>58439</v>
      </c>
      <c r="C44" s="242">
        <v>9845</v>
      </c>
      <c r="D44" s="242">
        <v>3621</v>
      </c>
      <c r="E44" s="242">
        <f t="shared" si="2"/>
        <v>13466</v>
      </c>
      <c r="F44" s="242">
        <v>19226</v>
      </c>
      <c r="G44" s="242">
        <v>4944</v>
      </c>
      <c r="H44" s="242">
        <f t="shared" si="3"/>
        <v>24170</v>
      </c>
      <c r="I44" s="95" t="s">
        <v>102</v>
      </c>
      <c r="J44" s="95" t="s">
        <v>102</v>
      </c>
      <c r="K44" s="95" t="s">
        <v>102</v>
      </c>
      <c r="L44" s="95" t="s">
        <v>102</v>
      </c>
      <c r="M44" s="95" t="s">
        <v>102</v>
      </c>
      <c r="N44" s="20"/>
      <c r="O44" s="20"/>
      <c r="P44" s="20"/>
      <c r="Q44" s="20"/>
      <c r="R44" s="20"/>
      <c r="S44" s="20"/>
      <c r="T44" s="20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</row>
    <row r="45" spans="1:229" ht="18.5" x14ac:dyDescent="0.45">
      <c r="A45" s="269" t="s">
        <v>79</v>
      </c>
      <c r="B45" s="242">
        <v>31520</v>
      </c>
      <c r="C45" s="242">
        <v>18131</v>
      </c>
      <c r="D45" s="242">
        <v>58915.16</v>
      </c>
      <c r="E45" s="242">
        <f t="shared" si="2"/>
        <v>77046.16</v>
      </c>
      <c r="F45" s="242">
        <v>19166</v>
      </c>
      <c r="G45" s="242">
        <v>17057</v>
      </c>
      <c r="H45" s="242">
        <f t="shared" si="3"/>
        <v>36223</v>
      </c>
      <c r="I45" s="95" t="s">
        <v>102</v>
      </c>
      <c r="J45" s="95" t="s">
        <v>102</v>
      </c>
      <c r="K45" s="95" t="s">
        <v>102</v>
      </c>
      <c r="L45" s="95" t="s">
        <v>102</v>
      </c>
      <c r="M45" s="95" t="s">
        <v>102</v>
      </c>
      <c r="N45" s="20"/>
      <c r="O45" s="20"/>
      <c r="P45" s="20"/>
      <c r="Q45" s="20"/>
      <c r="R45" s="20"/>
      <c r="S45" s="20"/>
      <c r="T45" s="20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</row>
    <row r="46" spans="1:229" ht="18.5" x14ac:dyDescent="0.45">
      <c r="A46" s="269" t="s">
        <v>80</v>
      </c>
      <c r="B46" s="242">
        <v>37740</v>
      </c>
      <c r="C46" s="242">
        <v>10683</v>
      </c>
      <c r="D46" s="242">
        <v>-28526</v>
      </c>
      <c r="E46" s="242">
        <f t="shared" si="2"/>
        <v>-17843</v>
      </c>
      <c r="F46" s="242">
        <v>20964</v>
      </c>
      <c r="G46" s="242">
        <v>0</v>
      </c>
      <c r="H46" s="242">
        <f t="shared" si="3"/>
        <v>20964</v>
      </c>
      <c r="I46" s="95" t="s">
        <v>102</v>
      </c>
      <c r="J46" s="95" t="s">
        <v>102</v>
      </c>
      <c r="K46" s="95" t="s">
        <v>102</v>
      </c>
      <c r="L46" s="95" t="s">
        <v>102</v>
      </c>
      <c r="M46" s="95" t="s">
        <v>102</v>
      </c>
      <c r="N46" s="20"/>
      <c r="O46" s="20"/>
      <c r="P46" s="20"/>
      <c r="Q46" s="20"/>
      <c r="R46" s="20"/>
      <c r="S46" s="20"/>
      <c r="T46" s="20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</row>
    <row r="47" spans="1:229" ht="18.5" x14ac:dyDescent="0.45">
      <c r="A47" s="269" t="s">
        <v>81</v>
      </c>
      <c r="B47" s="242">
        <f>[1]ActualDeliveries!E$100</f>
        <v>9864</v>
      </c>
      <c r="C47" s="242">
        <f>[1]ActualDeliveries!E$101</f>
        <v>2981</v>
      </c>
      <c r="D47" s="242">
        <f>[1]ActualDeliveries!E$123</f>
        <v>0</v>
      </c>
      <c r="E47" s="242">
        <f t="shared" si="2"/>
        <v>2981</v>
      </c>
      <c r="F47" s="242">
        <f>[1]ActualDeliveries!E$102</f>
        <v>886</v>
      </c>
      <c r="G47" s="242">
        <f>[1]ActualDeliveries!E$124</f>
        <v>0</v>
      </c>
      <c r="H47" s="242">
        <f t="shared" si="3"/>
        <v>886</v>
      </c>
      <c r="I47" s="95" t="s">
        <v>102</v>
      </c>
      <c r="J47" s="95" t="s">
        <v>102</v>
      </c>
      <c r="K47" s="95" t="s">
        <v>102</v>
      </c>
      <c r="L47" s="95" t="s">
        <v>102</v>
      </c>
      <c r="M47" s="95" t="s">
        <v>102</v>
      </c>
      <c r="N47" s="20"/>
      <c r="O47" s="20"/>
      <c r="P47" s="20"/>
      <c r="Q47" s="20"/>
      <c r="R47" s="20"/>
      <c r="S47" s="20"/>
      <c r="T47" s="20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</row>
    <row r="48" spans="1:229" ht="18.5" x14ac:dyDescent="0.45">
      <c r="A48" s="269" t="s">
        <v>82</v>
      </c>
      <c r="B48" s="242">
        <f t="shared" ref="B48:B55" si="4">$B$58</f>
        <v>26313.857142857141</v>
      </c>
      <c r="C48" s="242">
        <f t="shared" ref="C48:C55" si="5">$C$58</f>
        <v>9671.8571428571431</v>
      </c>
      <c r="D48" s="242">
        <f t="shared" ref="D48:D55" si="6">$D$58</f>
        <v>6762.3085714285717</v>
      </c>
      <c r="E48" s="242">
        <f t="shared" si="2"/>
        <v>16434.165714285715</v>
      </c>
      <c r="F48" s="242">
        <f t="shared" ref="F48:F55" si="7">$F$58</f>
        <v>12473.571428571429</v>
      </c>
      <c r="G48" s="242">
        <f t="shared" ref="G48:G55" si="8">$G$58</f>
        <v>5841.4285714285716</v>
      </c>
      <c r="H48" s="242">
        <f t="shared" si="3"/>
        <v>18315</v>
      </c>
      <c r="I48" s="95" t="s">
        <v>102</v>
      </c>
      <c r="J48" s="95" t="s">
        <v>102</v>
      </c>
      <c r="K48" s="95" t="s">
        <v>102</v>
      </c>
      <c r="L48" s="95" t="s">
        <v>102</v>
      </c>
      <c r="M48" s="95" t="s">
        <v>102</v>
      </c>
      <c r="N48" s="20"/>
      <c r="O48" s="20"/>
      <c r="P48" s="20"/>
      <c r="Q48" s="20"/>
      <c r="R48" s="20"/>
      <c r="S48" s="20"/>
      <c r="T48" s="20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</row>
    <row r="49" spans="1:229" ht="18.5" x14ac:dyDescent="0.45">
      <c r="A49" s="269" t="s">
        <v>83</v>
      </c>
      <c r="B49" s="242">
        <f t="shared" si="4"/>
        <v>26313.857142857141</v>
      </c>
      <c r="C49" s="242">
        <f t="shared" si="5"/>
        <v>9671.8571428571431</v>
      </c>
      <c r="D49" s="242">
        <f t="shared" si="6"/>
        <v>6762.3085714285717</v>
      </c>
      <c r="E49" s="242">
        <f t="shared" si="2"/>
        <v>16434.165714285715</v>
      </c>
      <c r="F49" s="242">
        <f t="shared" si="7"/>
        <v>12473.571428571429</v>
      </c>
      <c r="G49" s="242">
        <f t="shared" si="8"/>
        <v>5841.4285714285716</v>
      </c>
      <c r="H49" s="242">
        <f t="shared" si="3"/>
        <v>18315</v>
      </c>
      <c r="I49" s="95" t="s">
        <v>102</v>
      </c>
      <c r="J49" s="95" t="s">
        <v>102</v>
      </c>
      <c r="K49" s="95" t="s">
        <v>102</v>
      </c>
      <c r="L49" s="95" t="s">
        <v>102</v>
      </c>
      <c r="M49" s="95" t="s">
        <v>102</v>
      </c>
      <c r="N49" s="20"/>
      <c r="O49" s="20"/>
      <c r="P49" s="20"/>
      <c r="Q49" s="20"/>
      <c r="R49" s="20"/>
      <c r="S49" s="20"/>
      <c r="T49" s="20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</row>
    <row r="50" spans="1:229" ht="18.5" x14ac:dyDescent="0.45">
      <c r="A50" s="269" t="s">
        <v>84</v>
      </c>
      <c r="B50" s="242">
        <f t="shared" si="4"/>
        <v>26313.857142857141</v>
      </c>
      <c r="C50" s="242">
        <f t="shared" si="5"/>
        <v>9671.8571428571431</v>
      </c>
      <c r="D50" s="242">
        <f t="shared" si="6"/>
        <v>6762.3085714285717</v>
      </c>
      <c r="E50" s="242">
        <f t="shared" si="2"/>
        <v>16434.165714285715</v>
      </c>
      <c r="F50" s="242">
        <f t="shared" si="7"/>
        <v>12473.571428571429</v>
      </c>
      <c r="G50" s="242">
        <f t="shared" si="8"/>
        <v>5841.4285714285716</v>
      </c>
      <c r="H50" s="242">
        <f t="shared" si="3"/>
        <v>18315</v>
      </c>
      <c r="I50" s="95" t="s">
        <v>102</v>
      </c>
      <c r="J50" s="95" t="s">
        <v>102</v>
      </c>
      <c r="K50" s="95" t="s">
        <v>102</v>
      </c>
      <c r="L50" s="95" t="s">
        <v>102</v>
      </c>
      <c r="M50" s="95" t="s">
        <v>102</v>
      </c>
      <c r="N50" s="20"/>
      <c r="O50" s="20"/>
      <c r="P50" s="20"/>
      <c r="Q50" s="20"/>
      <c r="R50" s="20"/>
      <c r="S50" s="20"/>
      <c r="T50" s="20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</row>
    <row r="51" spans="1:229" ht="18.5" x14ac:dyDescent="0.45">
      <c r="A51" s="269" t="s">
        <v>85</v>
      </c>
      <c r="B51" s="242">
        <f t="shared" si="4"/>
        <v>26313.857142857141</v>
      </c>
      <c r="C51" s="242">
        <f t="shared" si="5"/>
        <v>9671.8571428571431</v>
      </c>
      <c r="D51" s="242">
        <f t="shared" si="6"/>
        <v>6762.3085714285717</v>
      </c>
      <c r="E51" s="242">
        <f t="shared" si="2"/>
        <v>16434.165714285715</v>
      </c>
      <c r="F51" s="242">
        <f t="shared" si="7"/>
        <v>12473.571428571429</v>
      </c>
      <c r="G51" s="242">
        <f t="shared" si="8"/>
        <v>5841.4285714285716</v>
      </c>
      <c r="H51" s="242">
        <f t="shared" si="3"/>
        <v>18315</v>
      </c>
      <c r="I51" s="95" t="s">
        <v>102</v>
      </c>
      <c r="J51" s="95" t="s">
        <v>102</v>
      </c>
      <c r="K51" s="95" t="s">
        <v>102</v>
      </c>
      <c r="L51" s="95" t="s">
        <v>102</v>
      </c>
      <c r="M51" s="95" t="s">
        <v>102</v>
      </c>
      <c r="N51" s="20"/>
      <c r="O51" s="20"/>
      <c r="P51" s="20"/>
      <c r="Q51" s="20"/>
      <c r="R51" s="20"/>
      <c r="S51" s="20"/>
      <c r="T51" s="20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</row>
    <row r="52" spans="1:229" ht="18.5" x14ac:dyDescent="0.45">
      <c r="A52" s="269" t="s">
        <v>86</v>
      </c>
      <c r="B52" s="242">
        <f t="shared" si="4"/>
        <v>26313.857142857141</v>
      </c>
      <c r="C52" s="242">
        <f t="shared" si="5"/>
        <v>9671.8571428571431</v>
      </c>
      <c r="D52" s="242">
        <f t="shared" si="6"/>
        <v>6762.3085714285717</v>
      </c>
      <c r="E52" s="242">
        <f t="shared" si="2"/>
        <v>16434.165714285715</v>
      </c>
      <c r="F52" s="242">
        <f t="shared" si="7"/>
        <v>12473.571428571429</v>
      </c>
      <c r="G52" s="242">
        <f t="shared" si="8"/>
        <v>5841.4285714285716</v>
      </c>
      <c r="H52" s="242">
        <f t="shared" si="3"/>
        <v>18315</v>
      </c>
      <c r="I52" s="95" t="s">
        <v>102</v>
      </c>
      <c r="J52" s="95" t="s">
        <v>102</v>
      </c>
      <c r="K52" s="95" t="s">
        <v>102</v>
      </c>
      <c r="L52" s="95" t="s">
        <v>102</v>
      </c>
      <c r="M52" s="95" t="s">
        <v>102</v>
      </c>
      <c r="N52" s="20"/>
      <c r="O52" s="20"/>
      <c r="P52" s="20"/>
      <c r="Q52" s="20"/>
      <c r="R52" s="20"/>
      <c r="S52" s="20"/>
      <c r="T52" s="20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</row>
    <row r="53" spans="1:229" ht="18.5" x14ac:dyDescent="0.45">
      <c r="A53" s="269" t="s">
        <v>87</v>
      </c>
      <c r="B53" s="242">
        <f t="shared" si="4"/>
        <v>26313.857142857141</v>
      </c>
      <c r="C53" s="242">
        <f t="shared" si="5"/>
        <v>9671.8571428571431</v>
      </c>
      <c r="D53" s="242">
        <f t="shared" si="6"/>
        <v>6762.3085714285717</v>
      </c>
      <c r="E53" s="242">
        <f t="shared" si="2"/>
        <v>16434.165714285715</v>
      </c>
      <c r="F53" s="242">
        <f t="shared" si="7"/>
        <v>12473.571428571429</v>
      </c>
      <c r="G53" s="242">
        <f t="shared" si="8"/>
        <v>5841.4285714285716</v>
      </c>
      <c r="H53" s="242">
        <f t="shared" si="3"/>
        <v>18315</v>
      </c>
      <c r="I53" s="95" t="s">
        <v>102</v>
      </c>
      <c r="J53" s="95" t="s">
        <v>102</v>
      </c>
      <c r="K53" s="95" t="s">
        <v>102</v>
      </c>
      <c r="L53" s="95" t="s">
        <v>102</v>
      </c>
      <c r="M53" s="95" t="s">
        <v>102</v>
      </c>
      <c r="N53" s="20"/>
      <c r="O53" s="20"/>
      <c r="P53" s="20"/>
      <c r="Q53" s="20"/>
      <c r="R53" s="20"/>
      <c r="S53" s="20"/>
      <c r="T53" s="20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</row>
    <row r="54" spans="1:229" ht="18.5" x14ac:dyDescent="0.45">
      <c r="A54" s="269" t="s">
        <v>88</v>
      </c>
      <c r="B54" s="242">
        <f t="shared" si="4"/>
        <v>26313.857142857141</v>
      </c>
      <c r="C54" s="242">
        <f t="shared" si="5"/>
        <v>9671.8571428571431</v>
      </c>
      <c r="D54" s="242">
        <f t="shared" si="6"/>
        <v>6762.3085714285717</v>
      </c>
      <c r="E54" s="242">
        <f t="shared" si="2"/>
        <v>16434.165714285715</v>
      </c>
      <c r="F54" s="242">
        <f t="shared" si="7"/>
        <v>12473.571428571429</v>
      </c>
      <c r="G54" s="242">
        <f t="shared" si="8"/>
        <v>5841.4285714285716</v>
      </c>
      <c r="H54" s="242">
        <f t="shared" si="3"/>
        <v>18315</v>
      </c>
      <c r="I54" s="95" t="s">
        <v>102</v>
      </c>
      <c r="J54" s="95" t="s">
        <v>102</v>
      </c>
      <c r="K54" s="95" t="s">
        <v>102</v>
      </c>
      <c r="L54" s="95" t="s">
        <v>102</v>
      </c>
      <c r="M54" s="95" t="s">
        <v>102</v>
      </c>
      <c r="N54" s="20"/>
      <c r="O54" s="20"/>
      <c r="P54" s="20"/>
      <c r="Q54" s="20"/>
      <c r="R54" s="20"/>
      <c r="S54" s="20"/>
      <c r="T54" s="20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</row>
    <row r="55" spans="1:229" ht="18.5" x14ac:dyDescent="0.45">
      <c r="A55" s="269" t="s">
        <v>89</v>
      </c>
      <c r="B55" s="242">
        <f t="shared" si="4"/>
        <v>26313.857142857141</v>
      </c>
      <c r="C55" s="242">
        <f t="shared" si="5"/>
        <v>9671.8571428571431</v>
      </c>
      <c r="D55" s="242">
        <f t="shared" si="6"/>
        <v>6762.3085714285717</v>
      </c>
      <c r="E55" s="242">
        <f t="shared" si="2"/>
        <v>16434.165714285715</v>
      </c>
      <c r="F55" s="242">
        <f t="shared" si="7"/>
        <v>12473.571428571429</v>
      </c>
      <c r="G55" s="242">
        <f t="shared" si="8"/>
        <v>5841.4285714285716</v>
      </c>
      <c r="H55" s="242">
        <f t="shared" si="3"/>
        <v>18315</v>
      </c>
      <c r="I55" s="95" t="s">
        <v>102</v>
      </c>
      <c r="J55" s="95" t="s">
        <v>102</v>
      </c>
      <c r="K55" s="95" t="s">
        <v>102</v>
      </c>
      <c r="L55" s="95" t="s">
        <v>102</v>
      </c>
      <c r="M55" s="95" t="s">
        <v>102</v>
      </c>
      <c r="N55" s="20"/>
      <c r="O55" s="20"/>
      <c r="P55" s="20"/>
      <c r="Q55" s="20"/>
      <c r="R55" s="20"/>
      <c r="S55" s="20"/>
      <c r="T55" s="20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</row>
    <row r="56" spans="1:229" ht="19" thickBot="1" x14ac:dyDescent="0.5">
      <c r="A56" s="269" t="s">
        <v>90</v>
      </c>
      <c r="B56" s="242">
        <f>B54</f>
        <v>26313.857142857141</v>
      </c>
      <c r="C56" s="242">
        <f>C55</f>
        <v>9671.8571428571431</v>
      </c>
      <c r="D56" s="242">
        <f>D55</f>
        <v>6762.3085714285717</v>
      </c>
      <c r="E56" s="242">
        <f t="shared" si="2"/>
        <v>16434.165714285715</v>
      </c>
      <c r="F56" s="242">
        <f>F55</f>
        <v>12473.571428571429</v>
      </c>
      <c r="G56" s="242">
        <f>G55</f>
        <v>5841.4285714285716</v>
      </c>
      <c r="H56" s="242">
        <f t="shared" si="3"/>
        <v>18315</v>
      </c>
      <c r="I56" s="95" t="s">
        <v>102</v>
      </c>
      <c r="J56" s="95" t="s">
        <v>102</v>
      </c>
      <c r="K56" s="95" t="s">
        <v>102</v>
      </c>
      <c r="L56" s="95" t="s">
        <v>102</v>
      </c>
      <c r="M56" s="95" t="s">
        <v>102</v>
      </c>
      <c r="N56" s="20"/>
      <c r="O56" s="20"/>
      <c r="P56" s="20"/>
      <c r="Q56" s="20"/>
      <c r="R56" s="20"/>
      <c r="S56" s="20"/>
      <c r="T56" s="20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</row>
    <row r="57" spans="1:229" ht="18.5" x14ac:dyDescent="0.45">
      <c r="A57" s="269" t="s">
        <v>91</v>
      </c>
      <c r="B57" s="247">
        <f t="shared" ref="B57:H57" si="9">SUM(B7:B56)</f>
        <v>1609502.7142857134</v>
      </c>
      <c r="C57" s="247">
        <f t="shared" si="9"/>
        <v>641702.71428571444</v>
      </c>
      <c r="D57" s="247">
        <f t="shared" si="9"/>
        <v>404560.93714285729</v>
      </c>
      <c r="E57" s="247">
        <f t="shared" si="9"/>
        <v>1046263.6514285712</v>
      </c>
      <c r="F57" s="247">
        <f t="shared" si="9"/>
        <v>883168.14285714331</v>
      </c>
      <c r="G57" s="247">
        <f t="shared" si="9"/>
        <v>453694.85714285722</v>
      </c>
      <c r="H57" s="247">
        <f t="shared" si="9"/>
        <v>1336863</v>
      </c>
      <c r="I57" s="95" t="s">
        <v>102</v>
      </c>
      <c r="J57" s="95" t="s">
        <v>102</v>
      </c>
      <c r="K57" s="95" t="s">
        <v>102</v>
      </c>
      <c r="L57" s="95" t="s">
        <v>102</v>
      </c>
      <c r="M57" s="95" t="s">
        <v>102</v>
      </c>
      <c r="N57" s="20"/>
      <c r="O57" s="20"/>
      <c r="P57" s="20"/>
      <c r="Q57" s="20"/>
      <c r="R57" s="20"/>
      <c r="S57" s="20"/>
      <c r="T57" s="20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</row>
    <row r="58" spans="1:229" ht="18.5" x14ac:dyDescent="0.45">
      <c r="A58" s="269" t="str">
        <f>Page_10!A58</f>
        <v>7 - Year Hist Avg (A-12)</v>
      </c>
      <c r="B58" s="242">
        <f>AVERAGE(B41:B47)</f>
        <v>26313.857142857141</v>
      </c>
      <c r="C58" s="242">
        <f>AVERAGE(C41:C47)</f>
        <v>9671.8571428571431</v>
      </c>
      <c r="D58" s="242">
        <f>AVERAGE(D41:D47)</f>
        <v>6762.3085714285717</v>
      </c>
      <c r="E58" s="242">
        <f>SUM(C58:D58)</f>
        <v>16434.165714285715</v>
      </c>
      <c r="F58" s="242">
        <f>AVERAGE(F41:F47)</f>
        <v>12473.571428571429</v>
      </c>
      <c r="G58" s="242">
        <f>AVERAGE(G41:G47)</f>
        <v>5841.4285714285716</v>
      </c>
      <c r="H58" s="242">
        <f>SUM(F58:G58)</f>
        <v>18315</v>
      </c>
      <c r="I58" s="95" t="s">
        <v>102</v>
      </c>
      <c r="J58" s="95" t="s">
        <v>102</v>
      </c>
      <c r="K58" s="95" t="s">
        <v>102</v>
      </c>
      <c r="L58" s="95" t="s">
        <v>102</v>
      </c>
      <c r="M58" s="95" t="s">
        <v>102</v>
      </c>
      <c r="N58" s="20"/>
      <c r="O58" s="20"/>
      <c r="P58" s="20"/>
      <c r="Q58" s="20"/>
      <c r="R58" s="20"/>
      <c r="S58" s="20"/>
      <c r="T58" s="20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</row>
    <row r="59" spans="1:229" s="54" customFormat="1" ht="17.5" x14ac:dyDescent="0.45">
      <c r="A59" s="272" t="str">
        <f>Page_10!A59</f>
        <v>Projected Del. (A-2ba)</v>
      </c>
      <c r="B59" s="242">
        <f>SUM(B49:B56)</f>
        <v>210510.8571428571</v>
      </c>
      <c r="C59" s="242">
        <f>SUM(C49:C56)</f>
        <v>77374.857142857145</v>
      </c>
      <c r="D59" s="242">
        <f>SUM(D49:D56)</f>
        <v>54098.468571428566</v>
      </c>
      <c r="E59" s="242">
        <f>SUM(C59:D59)</f>
        <v>131473.32571428572</v>
      </c>
      <c r="F59" s="242">
        <f>SUM(F49:F56)</f>
        <v>99788.571428571449</v>
      </c>
      <c r="G59" s="242">
        <f>SUM(G49:G56)</f>
        <v>46731.428571428572</v>
      </c>
      <c r="H59" s="242">
        <f>SUM(F59:G59)</f>
        <v>146520.00000000003</v>
      </c>
      <c r="I59" s="97" t="s">
        <v>102</v>
      </c>
      <c r="J59" s="97" t="s">
        <v>102</v>
      </c>
      <c r="K59" s="97" t="s">
        <v>102</v>
      </c>
      <c r="L59" s="97" t="s">
        <v>102</v>
      </c>
      <c r="M59" s="97" t="s">
        <v>102</v>
      </c>
      <c r="N59" s="29"/>
      <c r="O59" s="29"/>
      <c r="P59" s="29"/>
      <c r="Q59" s="29"/>
      <c r="R59" s="29"/>
      <c r="S59" s="29"/>
      <c r="T59" s="29"/>
    </row>
    <row r="60" spans="1:229" ht="20.149999999999999" customHeight="1" x14ac:dyDescent="0.35">
      <c r="A60" s="55"/>
      <c r="B60" s="5"/>
      <c r="C60" s="56" t="s">
        <v>102</v>
      </c>
      <c r="D60" s="56" t="s">
        <v>102</v>
      </c>
      <c r="E60" s="56" t="s">
        <v>102</v>
      </c>
      <c r="F60" s="56" t="s">
        <v>102</v>
      </c>
      <c r="G60" s="56" t="s">
        <v>102</v>
      </c>
      <c r="H60" s="56" t="s">
        <v>102</v>
      </c>
      <c r="I60" s="80" t="s">
        <v>102</v>
      </c>
      <c r="J60" s="80" t="s">
        <v>102</v>
      </c>
      <c r="K60" s="80" t="s">
        <v>102</v>
      </c>
      <c r="L60" s="80" t="s">
        <v>102</v>
      </c>
      <c r="M60" s="80" t="s">
        <v>102</v>
      </c>
      <c r="N60" s="30"/>
      <c r="O60" s="30"/>
      <c r="P60" s="30"/>
      <c r="Q60" s="30"/>
      <c r="R60" s="30"/>
      <c r="S60" s="30"/>
      <c r="T60" s="30"/>
    </row>
    <row r="61" spans="1:229" ht="20.149999999999999" customHeight="1" x14ac:dyDescent="0.35">
      <c r="A61" s="55"/>
      <c r="B61" s="5"/>
      <c r="C61" s="56" t="s">
        <v>102</v>
      </c>
      <c r="D61" s="56" t="s">
        <v>102</v>
      </c>
      <c r="E61" s="56" t="s">
        <v>102</v>
      </c>
      <c r="F61" s="56" t="s">
        <v>102</v>
      </c>
      <c r="G61" s="56" t="s">
        <v>102</v>
      </c>
      <c r="H61" s="56" t="s">
        <v>102</v>
      </c>
      <c r="I61" s="80" t="s">
        <v>102</v>
      </c>
      <c r="J61" s="80" t="s">
        <v>102</v>
      </c>
      <c r="K61" s="80" t="s">
        <v>102</v>
      </c>
      <c r="L61" s="80" t="s">
        <v>102</v>
      </c>
      <c r="M61" s="80" t="s">
        <v>102</v>
      </c>
      <c r="N61" s="30"/>
      <c r="O61" s="30"/>
      <c r="P61" s="30"/>
      <c r="Q61" s="30"/>
      <c r="R61" s="30"/>
      <c r="S61" s="30"/>
      <c r="T61" s="30"/>
    </row>
    <row r="62" spans="1:229" ht="20.149999999999999" customHeight="1" x14ac:dyDescent="0.35">
      <c r="A62" s="55"/>
      <c r="B62" s="5"/>
      <c r="C62" s="56" t="s">
        <v>102</v>
      </c>
      <c r="D62" s="56" t="s">
        <v>102</v>
      </c>
      <c r="E62" s="56" t="s">
        <v>102</v>
      </c>
      <c r="F62" s="56" t="s">
        <v>102</v>
      </c>
      <c r="G62" s="56" t="s">
        <v>102</v>
      </c>
      <c r="H62" s="56" t="s">
        <v>102</v>
      </c>
      <c r="I62" s="80" t="s">
        <v>102</v>
      </c>
      <c r="J62" s="80" t="s">
        <v>102</v>
      </c>
      <c r="K62" s="80" t="s">
        <v>102</v>
      </c>
      <c r="L62" s="80" t="s">
        <v>102</v>
      </c>
      <c r="M62" s="80" t="s">
        <v>102</v>
      </c>
      <c r="N62" s="30"/>
      <c r="O62" s="30"/>
      <c r="P62" s="30"/>
      <c r="Q62" s="30"/>
      <c r="R62" s="30"/>
      <c r="S62" s="30"/>
      <c r="T62" s="30"/>
    </row>
    <row r="63" spans="1:229" ht="20.149999999999999" customHeight="1" x14ac:dyDescent="0.35">
      <c r="A63" s="55"/>
      <c r="B63" s="5"/>
      <c r="C63" s="56" t="s">
        <v>102</v>
      </c>
      <c r="D63" s="56" t="s">
        <v>102</v>
      </c>
      <c r="E63" s="56" t="s">
        <v>102</v>
      </c>
      <c r="F63" s="56" t="s">
        <v>102</v>
      </c>
      <c r="G63" s="56" t="s">
        <v>102</v>
      </c>
      <c r="H63" s="56" t="s">
        <v>102</v>
      </c>
      <c r="I63" s="80" t="s">
        <v>102</v>
      </c>
      <c r="J63" s="80" t="s">
        <v>102</v>
      </c>
      <c r="K63" s="80" t="s">
        <v>102</v>
      </c>
      <c r="L63" s="80" t="s">
        <v>102</v>
      </c>
      <c r="M63" s="80" t="s">
        <v>102</v>
      </c>
      <c r="N63" s="30"/>
      <c r="O63" s="30"/>
      <c r="P63" s="30"/>
      <c r="Q63" s="30"/>
      <c r="R63" s="30"/>
      <c r="S63" s="30"/>
      <c r="T63" s="30"/>
    </row>
    <row r="64" spans="1:229" ht="20.149999999999999" customHeight="1" x14ac:dyDescent="0.35">
      <c r="A64" s="55"/>
      <c r="B64" s="5"/>
      <c r="C64" s="56" t="s">
        <v>102</v>
      </c>
      <c r="D64" s="56" t="s">
        <v>102</v>
      </c>
      <c r="E64" s="56" t="s">
        <v>102</v>
      </c>
      <c r="F64" s="56" t="s">
        <v>102</v>
      </c>
      <c r="G64" s="56" t="s">
        <v>102</v>
      </c>
      <c r="H64" s="56" t="s">
        <v>102</v>
      </c>
      <c r="I64" s="80" t="s">
        <v>102</v>
      </c>
      <c r="J64" s="80" t="s">
        <v>102</v>
      </c>
      <c r="K64" s="80" t="s">
        <v>102</v>
      </c>
      <c r="L64" s="80" t="s">
        <v>102</v>
      </c>
      <c r="M64" s="80" t="s">
        <v>102</v>
      </c>
      <c r="N64" s="30"/>
      <c r="O64" s="30"/>
      <c r="P64" s="30"/>
      <c r="Q64" s="30"/>
      <c r="R64" s="30"/>
      <c r="S64" s="30"/>
      <c r="T64" s="30"/>
    </row>
    <row r="65" spans="1:20" ht="20.149999999999999" customHeight="1" x14ac:dyDescent="0.35">
      <c r="A65" s="55"/>
      <c r="B65" s="5"/>
      <c r="C65" s="56" t="s">
        <v>102</v>
      </c>
      <c r="D65" s="56" t="s">
        <v>102</v>
      </c>
      <c r="E65" s="56" t="s">
        <v>102</v>
      </c>
      <c r="F65" s="56" t="s">
        <v>102</v>
      </c>
      <c r="G65" s="56" t="s">
        <v>102</v>
      </c>
      <c r="H65" s="56" t="s">
        <v>102</v>
      </c>
      <c r="I65" s="80" t="s">
        <v>102</v>
      </c>
      <c r="J65" s="80" t="s">
        <v>102</v>
      </c>
      <c r="K65" s="80" t="s">
        <v>102</v>
      </c>
      <c r="L65" s="80" t="s">
        <v>102</v>
      </c>
      <c r="M65" s="80" t="s">
        <v>102</v>
      </c>
      <c r="N65" s="30"/>
      <c r="O65" s="30"/>
      <c r="P65" s="30"/>
      <c r="Q65" s="30"/>
      <c r="R65" s="30"/>
      <c r="S65" s="30"/>
      <c r="T65" s="30"/>
    </row>
    <row r="66" spans="1:20" ht="20.149999999999999" customHeight="1" x14ac:dyDescent="0.35">
      <c r="A66" s="55"/>
      <c r="B66" s="5"/>
      <c r="C66" s="57"/>
      <c r="D66" s="57"/>
      <c r="E66" s="57"/>
      <c r="F66" s="57"/>
      <c r="G66" s="57"/>
      <c r="H66" s="57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</row>
    <row r="67" spans="1:20" ht="20.149999999999999" customHeight="1" x14ac:dyDescent="0.35">
      <c r="A67" s="55"/>
      <c r="B67" s="5"/>
      <c r="C67" s="57"/>
      <c r="D67" s="57"/>
      <c r="E67" s="57"/>
      <c r="F67" s="57"/>
      <c r="G67" s="57"/>
      <c r="H67" s="57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</row>
    <row r="68" spans="1:20" ht="20.149999999999999" customHeight="1" x14ac:dyDescent="0.35">
      <c r="A68" s="55"/>
      <c r="B68" s="5"/>
      <c r="C68" s="57"/>
      <c r="D68" s="57"/>
      <c r="E68" s="57"/>
      <c r="F68" s="57"/>
      <c r="G68" s="57"/>
      <c r="H68" s="57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</row>
    <row r="69" spans="1:20" ht="20.149999999999999" customHeight="1" x14ac:dyDescent="0.35">
      <c r="A69" s="55"/>
      <c r="B69" s="5"/>
      <c r="C69" s="57"/>
      <c r="D69" s="57"/>
      <c r="E69" s="57"/>
      <c r="F69" s="57"/>
      <c r="G69" s="57"/>
      <c r="H69" s="57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</row>
    <row r="70" spans="1:20" ht="20.149999999999999" customHeight="1" x14ac:dyDescent="0.35">
      <c r="A70" s="55"/>
      <c r="B70" s="5"/>
      <c r="C70" s="57"/>
      <c r="D70" s="57"/>
      <c r="E70" s="57"/>
      <c r="F70" s="57"/>
      <c r="G70" s="57"/>
      <c r="H70" s="57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</row>
    <row r="71" spans="1:20" ht="20.149999999999999" customHeight="1" x14ac:dyDescent="0.35">
      <c r="A71" s="55"/>
      <c r="B71" s="5"/>
      <c r="C71" s="57"/>
      <c r="D71" s="57"/>
      <c r="E71" s="57"/>
      <c r="F71" s="57"/>
      <c r="G71" s="57"/>
      <c r="H71" s="57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</row>
    <row r="72" spans="1:20" ht="20.149999999999999" customHeight="1" x14ac:dyDescent="0.35">
      <c r="A72" s="55"/>
      <c r="B72" s="5"/>
      <c r="C72" s="57"/>
      <c r="D72" s="57"/>
      <c r="E72" s="57"/>
      <c r="F72" s="57"/>
      <c r="G72" s="57"/>
      <c r="H72" s="57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</row>
    <row r="73" spans="1:20" ht="20.149999999999999" customHeight="1" x14ac:dyDescent="0.35">
      <c r="A73" s="55"/>
      <c r="B73" s="5"/>
      <c r="C73" s="57"/>
      <c r="D73" s="57"/>
      <c r="E73" s="57"/>
      <c r="F73" s="57"/>
      <c r="G73" s="57"/>
      <c r="H73" s="57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</row>
    <row r="74" spans="1:20" ht="20.149999999999999" customHeight="1" x14ac:dyDescent="0.35">
      <c r="A74" s="55"/>
      <c r="B74" s="5"/>
      <c r="C74" s="57"/>
      <c r="D74" s="57"/>
      <c r="E74" s="57"/>
      <c r="F74" s="57"/>
      <c r="G74" s="57"/>
      <c r="H74" s="57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</row>
    <row r="75" spans="1:20" ht="20.149999999999999" customHeight="1" x14ac:dyDescent="0.35">
      <c r="A75" s="55"/>
      <c r="B75" s="5"/>
      <c r="C75" s="57"/>
      <c r="D75" s="57"/>
      <c r="E75" s="57"/>
      <c r="F75" s="57"/>
      <c r="G75" s="57"/>
      <c r="H75" s="57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</row>
    <row r="76" spans="1:20" ht="20.149999999999999" customHeight="1" x14ac:dyDescent="0.35"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</row>
    <row r="77" spans="1:20" ht="20.149999999999999" customHeight="1" x14ac:dyDescent="0.35"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</row>
    <row r="78" spans="1:20" ht="20.149999999999999" customHeight="1" x14ac:dyDescent="0.35"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</row>
    <row r="79" spans="1:20" ht="20.149999999999999" customHeight="1" x14ac:dyDescent="0.35"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</row>
    <row r="80" spans="1:20" ht="20.149999999999999" customHeight="1" x14ac:dyDescent="0.35"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</row>
    <row r="81" spans="3:20" ht="20.149999999999999" customHeight="1" x14ac:dyDescent="0.35"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</row>
    <row r="82" spans="3:20" ht="20.149999999999999" customHeight="1" x14ac:dyDescent="0.35"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</row>
    <row r="83" spans="3:20" ht="20.149999999999999" customHeight="1" x14ac:dyDescent="0.35"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</row>
    <row r="84" spans="3:20" ht="20.149999999999999" customHeight="1" x14ac:dyDescent="0.35"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</row>
    <row r="85" spans="3:20" ht="20.149999999999999" customHeight="1" x14ac:dyDescent="0.35"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</row>
    <row r="86" spans="3:20" ht="20.149999999999999" customHeight="1" x14ac:dyDescent="0.35"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</row>
    <row r="87" spans="3:20" ht="20.149999999999999" customHeight="1" x14ac:dyDescent="0.35"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</row>
    <row r="88" spans="3:20" ht="20.149999999999999" customHeight="1" x14ac:dyDescent="0.35"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</row>
    <row r="89" spans="3:20" ht="20.149999999999999" customHeight="1" x14ac:dyDescent="0.35"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</row>
    <row r="90" spans="3:20" ht="20.149999999999999" customHeight="1" x14ac:dyDescent="0.35"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</row>
    <row r="91" spans="3:20" ht="20.149999999999999" customHeight="1" x14ac:dyDescent="0.35"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</row>
    <row r="92" spans="3:20" ht="20.149999999999999" customHeight="1" x14ac:dyDescent="0.35"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</row>
    <row r="93" spans="3:20" ht="20.149999999999999" customHeight="1" x14ac:dyDescent="0.35"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</row>
    <row r="94" spans="3:20" ht="20.149999999999999" customHeight="1" x14ac:dyDescent="0.35"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</row>
    <row r="95" spans="3:20" ht="20.149999999999999" customHeight="1" x14ac:dyDescent="0.35"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</row>
    <row r="96" spans="3:20" ht="20.149999999999999" customHeight="1" x14ac:dyDescent="0.35"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</row>
    <row r="97" spans="3:20" ht="20.149999999999999" customHeight="1" x14ac:dyDescent="0.35"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</row>
    <row r="98" spans="3:20" ht="20.149999999999999" customHeight="1" x14ac:dyDescent="0.35"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</row>
    <row r="99" spans="3:20" ht="20.149999999999999" customHeight="1" x14ac:dyDescent="0.35"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</row>
    <row r="100" spans="3:20" ht="20.149999999999999" customHeight="1" x14ac:dyDescent="0.35"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</row>
    <row r="101" spans="3:20" ht="20.149999999999999" customHeight="1" x14ac:dyDescent="0.35"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</row>
    <row r="102" spans="3:20" ht="20.149999999999999" customHeight="1" x14ac:dyDescent="0.35"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</row>
    <row r="103" spans="3:20" ht="20.149999999999999" customHeight="1" x14ac:dyDescent="0.35"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</row>
    <row r="104" spans="3:20" ht="20.149999999999999" customHeight="1" x14ac:dyDescent="0.35"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</row>
    <row r="105" spans="3:20" ht="20.149999999999999" customHeight="1" x14ac:dyDescent="0.35"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</row>
    <row r="106" spans="3:20" ht="20.149999999999999" customHeight="1" x14ac:dyDescent="0.35"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</row>
    <row r="107" spans="3:20" ht="20.149999999999999" customHeight="1" x14ac:dyDescent="0.35"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</row>
    <row r="108" spans="3:20" ht="20.149999999999999" customHeight="1" x14ac:dyDescent="0.35"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</row>
    <row r="109" spans="3:20" ht="20.149999999999999" customHeight="1" x14ac:dyDescent="0.35"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</row>
    <row r="110" spans="3:20" ht="20.149999999999999" customHeight="1" x14ac:dyDescent="0.35"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</row>
    <row r="111" spans="3:20" ht="20.149999999999999" customHeight="1" x14ac:dyDescent="0.35"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</row>
    <row r="112" spans="3:20" ht="20.149999999999999" customHeight="1" x14ac:dyDescent="0.35"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</row>
    <row r="113" spans="3:20" ht="20.149999999999999" customHeight="1" x14ac:dyDescent="0.35"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</row>
    <row r="114" spans="3:20" ht="20.149999999999999" customHeight="1" x14ac:dyDescent="0.35"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</row>
    <row r="115" spans="3:20" ht="20.149999999999999" customHeight="1" x14ac:dyDescent="0.35"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</row>
    <row r="116" spans="3:20" ht="20.149999999999999" customHeight="1" x14ac:dyDescent="0.35"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</row>
    <row r="117" spans="3:20" ht="20.149999999999999" customHeight="1" x14ac:dyDescent="0.35"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</row>
    <row r="118" spans="3:20" ht="20.149999999999999" customHeight="1" x14ac:dyDescent="0.35"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</row>
    <row r="119" spans="3:20" ht="20.149999999999999" customHeight="1" x14ac:dyDescent="0.35"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</row>
    <row r="120" spans="3:20" ht="20.149999999999999" customHeight="1" x14ac:dyDescent="0.35"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</row>
    <row r="121" spans="3:20" ht="20.149999999999999" customHeight="1" x14ac:dyDescent="0.35"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</row>
    <row r="122" spans="3:20" ht="20.149999999999999" customHeight="1" x14ac:dyDescent="0.35"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</row>
    <row r="123" spans="3:20" ht="20.149999999999999" customHeight="1" x14ac:dyDescent="0.35"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</row>
    <row r="124" spans="3:20" ht="20.149999999999999" customHeight="1" x14ac:dyDescent="0.35"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</row>
    <row r="125" spans="3:20" ht="20.149999999999999" customHeight="1" x14ac:dyDescent="0.35"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</row>
    <row r="126" spans="3:20" ht="20.149999999999999" customHeight="1" x14ac:dyDescent="0.35"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</row>
    <row r="127" spans="3:20" ht="20.149999999999999" customHeight="1" x14ac:dyDescent="0.35"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</row>
    <row r="128" spans="3:20" ht="20.149999999999999" customHeight="1" x14ac:dyDescent="0.35"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</row>
    <row r="129" spans="3:20" ht="20.149999999999999" customHeight="1" x14ac:dyDescent="0.35"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</row>
    <row r="130" spans="3:20" ht="20.149999999999999" customHeight="1" x14ac:dyDescent="0.35"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</row>
    <row r="131" spans="3:20" ht="20.149999999999999" customHeight="1" x14ac:dyDescent="0.35"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</row>
    <row r="132" spans="3:20" ht="20.149999999999999" customHeight="1" x14ac:dyDescent="0.35"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</row>
    <row r="133" spans="3:20" ht="20.149999999999999" customHeight="1" x14ac:dyDescent="0.35"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</row>
    <row r="134" spans="3:20" ht="20.149999999999999" customHeight="1" x14ac:dyDescent="0.35"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</row>
    <row r="135" spans="3:20" ht="20.149999999999999" customHeight="1" x14ac:dyDescent="0.35"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</row>
    <row r="136" spans="3:20" ht="20.149999999999999" customHeight="1" x14ac:dyDescent="0.35"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</row>
    <row r="137" spans="3:20" ht="20.149999999999999" customHeight="1" x14ac:dyDescent="0.35"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</row>
    <row r="138" spans="3:20" ht="20.149999999999999" customHeight="1" x14ac:dyDescent="0.35"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</row>
    <row r="139" spans="3:20" ht="20.149999999999999" customHeight="1" x14ac:dyDescent="0.35"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</row>
    <row r="140" spans="3:20" ht="20.149999999999999" customHeight="1" x14ac:dyDescent="0.35"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</row>
    <row r="141" spans="3:20" ht="20.149999999999999" customHeight="1" x14ac:dyDescent="0.35"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</row>
    <row r="142" spans="3:20" ht="20.149999999999999" customHeight="1" x14ac:dyDescent="0.35"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</row>
    <row r="143" spans="3:20" ht="20.149999999999999" customHeight="1" x14ac:dyDescent="0.35"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</row>
    <row r="144" spans="3:20" ht="20.149999999999999" customHeight="1" x14ac:dyDescent="0.35"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</row>
    <row r="145" spans="3:20" ht="20.149999999999999" customHeight="1" x14ac:dyDescent="0.35"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</row>
    <row r="146" spans="3:20" ht="20.149999999999999" customHeight="1" x14ac:dyDescent="0.35"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</row>
    <row r="147" spans="3:20" ht="20.149999999999999" customHeight="1" x14ac:dyDescent="0.35"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</row>
    <row r="148" spans="3:20" ht="20.149999999999999" customHeight="1" x14ac:dyDescent="0.35"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</row>
    <row r="149" spans="3:20" ht="20.149999999999999" customHeight="1" x14ac:dyDescent="0.35"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</row>
    <row r="150" spans="3:20" ht="20.149999999999999" customHeight="1" x14ac:dyDescent="0.35"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</row>
    <row r="151" spans="3:20" ht="20.149999999999999" customHeight="1" x14ac:dyDescent="0.35"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</row>
    <row r="152" spans="3:20" ht="20.149999999999999" customHeight="1" x14ac:dyDescent="0.35"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</row>
    <row r="153" spans="3:20" ht="20.149999999999999" customHeight="1" x14ac:dyDescent="0.35"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</row>
    <row r="154" spans="3:20" ht="20.149999999999999" customHeight="1" x14ac:dyDescent="0.35"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</row>
    <row r="155" spans="3:20" ht="20.149999999999999" customHeight="1" x14ac:dyDescent="0.35"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</row>
    <row r="156" spans="3:20" ht="20.149999999999999" customHeight="1" x14ac:dyDescent="0.35"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</row>
    <row r="157" spans="3:20" ht="20.149999999999999" customHeight="1" x14ac:dyDescent="0.35"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</row>
    <row r="158" spans="3:20" ht="20.149999999999999" customHeight="1" x14ac:dyDescent="0.35"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</row>
    <row r="159" spans="3:20" ht="20.149999999999999" customHeight="1" x14ac:dyDescent="0.35"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</row>
    <row r="160" spans="3:20" ht="20.149999999999999" customHeight="1" x14ac:dyDescent="0.35"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</row>
    <row r="161" spans="3:20" ht="20.149999999999999" customHeight="1" x14ac:dyDescent="0.35"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</row>
    <row r="162" spans="3:20" ht="20.149999999999999" customHeight="1" x14ac:dyDescent="0.35"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</row>
    <row r="163" spans="3:20" ht="20.149999999999999" customHeight="1" x14ac:dyDescent="0.35"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</row>
    <row r="164" spans="3:20" ht="20.149999999999999" customHeight="1" x14ac:dyDescent="0.35"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</row>
    <row r="165" spans="3:20" ht="20.149999999999999" customHeight="1" x14ac:dyDescent="0.35"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</row>
    <row r="166" spans="3:20" ht="20.149999999999999" customHeight="1" x14ac:dyDescent="0.35"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</row>
    <row r="167" spans="3:20" ht="20.149999999999999" customHeight="1" x14ac:dyDescent="0.35"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</row>
    <row r="168" spans="3:20" ht="20.149999999999999" customHeight="1" x14ac:dyDescent="0.35"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</row>
    <row r="169" spans="3:20" ht="20.149999999999999" customHeight="1" x14ac:dyDescent="0.35"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</row>
    <row r="170" spans="3:20" ht="20.149999999999999" customHeight="1" x14ac:dyDescent="0.35"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</row>
    <row r="171" spans="3:20" ht="20.149999999999999" customHeight="1" x14ac:dyDescent="0.35"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</row>
    <row r="172" spans="3:20" ht="20.149999999999999" customHeight="1" x14ac:dyDescent="0.35"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</row>
    <row r="173" spans="3:20" ht="20.149999999999999" customHeight="1" x14ac:dyDescent="0.35"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</row>
    <row r="174" spans="3:20" ht="20.149999999999999" customHeight="1" x14ac:dyDescent="0.35"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</row>
    <row r="175" spans="3:20" ht="20.149999999999999" customHeight="1" x14ac:dyDescent="0.35"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</row>
    <row r="176" spans="3:20" ht="20.149999999999999" customHeight="1" x14ac:dyDescent="0.35"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</row>
    <row r="177" spans="3:20" ht="20.149999999999999" customHeight="1" x14ac:dyDescent="0.35"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</row>
    <row r="178" spans="3:20" ht="20.149999999999999" customHeight="1" x14ac:dyDescent="0.35"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</row>
    <row r="179" spans="3:20" ht="20.149999999999999" customHeight="1" x14ac:dyDescent="0.35"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</row>
    <row r="180" spans="3:20" ht="20.149999999999999" customHeight="1" x14ac:dyDescent="0.35"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</row>
    <row r="181" spans="3:20" ht="20.149999999999999" customHeight="1" x14ac:dyDescent="0.35"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</row>
    <row r="182" spans="3:20" ht="20.149999999999999" customHeight="1" x14ac:dyDescent="0.35"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</row>
    <row r="183" spans="3:20" ht="20.149999999999999" customHeight="1" x14ac:dyDescent="0.35"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</row>
    <row r="184" spans="3:20" ht="20.149999999999999" customHeight="1" x14ac:dyDescent="0.35"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</row>
    <row r="185" spans="3:20" ht="20.149999999999999" customHeight="1" x14ac:dyDescent="0.35"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</row>
    <row r="186" spans="3:20" ht="20.149999999999999" customHeight="1" x14ac:dyDescent="0.35"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</row>
    <row r="187" spans="3:20" ht="20.149999999999999" customHeight="1" x14ac:dyDescent="0.35"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</row>
    <row r="188" spans="3:20" ht="20.149999999999999" customHeight="1" x14ac:dyDescent="0.35"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</row>
    <row r="189" spans="3:20" ht="20.149999999999999" customHeight="1" x14ac:dyDescent="0.35"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</row>
    <row r="190" spans="3:20" ht="20.149999999999999" customHeight="1" x14ac:dyDescent="0.35"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</row>
    <row r="191" spans="3:20" ht="20.149999999999999" customHeight="1" x14ac:dyDescent="0.35"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</row>
    <row r="192" spans="3:20" ht="20.149999999999999" customHeight="1" x14ac:dyDescent="0.35"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</row>
    <row r="193" spans="3:20" ht="20.149999999999999" customHeight="1" x14ac:dyDescent="0.35"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</row>
    <row r="194" spans="3:20" ht="20.149999999999999" customHeight="1" x14ac:dyDescent="0.35"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</row>
    <row r="195" spans="3:20" ht="20.149999999999999" customHeight="1" x14ac:dyDescent="0.35"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</row>
    <row r="196" spans="3:20" ht="20.149999999999999" customHeight="1" x14ac:dyDescent="0.35"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</row>
    <row r="197" spans="3:20" ht="20.149999999999999" customHeight="1" x14ac:dyDescent="0.35"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</row>
    <row r="198" spans="3:20" ht="20.149999999999999" customHeight="1" x14ac:dyDescent="0.35"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</row>
    <row r="199" spans="3:20" ht="20.149999999999999" customHeight="1" x14ac:dyDescent="0.35"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</row>
    <row r="200" spans="3:20" ht="20.149999999999999" customHeight="1" x14ac:dyDescent="0.35"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</row>
    <row r="201" spans="3:20" ht="20.149999999999999" customHeight="1" x14ac:dyDescent="0.35"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</row>
    <row r="202" spans="3:20" ht="20.149999999999999" customHeight="1" x14ac:dyDescent="0.35"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</row>
    <row r="203" spans="3:20" ht="20.149999999999999" customHeight="1" x14ac:dyDescent="0.35"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</row>
    <row r="204" spans="3:20" ht="20.149999999999999" customHeight="1" x14ac:dyDescent="0.35"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</row>
    <row r="205" spans="3:20" ht="20.149999999999999" customHeight="1" x14ac:dyDescent="0.35"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</row>
    <row r="206" spans="3:20" ht="20.149999999999999" customHeight="1" x14ac:dyDescent="0.35"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</row>
    <row r="207" spans="3:20" ht="20.149999999999999" customHeight="1" x14ac:dyDescent="0.35"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</row>
    <row r="208" spans="3:20" ht="20.149999999999999" customHeight="1" x14ac:dyDescent="0.35"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</row>
    <row r="209" spans="3:20" ht="20.149999999999999" customHeight="1" x14ac:dyDescent="0.35"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</row>
    <row r="210" spans="3:20" ht="20.149999999999999" customHeight="1" x14ac:dyDescent="0.35"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</row>
    <row r="211" spans="3:20" ht="20.149999999999999" customHeight="1" x14ac:dyDescent="0.35"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</row>
    <row r="212" spans="3:20" ht="20.149999999999999" customHeight="1" x14ac:dyDescent="0.35"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</row>
    <row r="213" spans="3:20" ht="20.149999999999999" customHeight="1" x14ac:dyDescent="0.35"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</row>
    <row r="214" spans="3:20" ht="20.149999999999999" customHeight="1" x14ac:dyDescent="0.35"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</row>
    <row r="215" spans="3:20" ht="20.149999999999999" customHeight="1" x14ac:dyDescent="0.35"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</row>
    <row r="216" spans="3:20" ht="20.149999999999999" customHeight="1" x14ac:dyDescent="0.35"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</row>
    <row r="217" spans="3:20" ht="20.149999999999999" customHeight="1" x14ac:dyDescent="0.35"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</row>
    <row r="218" spans="3:20" ht="20.149999999999999" customHeight="1" x14ac:dyDescent="0.35"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</row>
    <row r="219" spans="3:20" ht="20.149999999999999" customHeight="1" x14ac:dyDescent="0.35"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</row>
    <row r="220" spans="3:20" ht="20.149999999999999" customHeight="1" x14ac:dyDescent="0.35"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</row>
    <row r="221" spans="3:20" ht="20.149999999999999" customHeight="1" x14ac:dyDescent="0.35"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</row>
    <row r="222" spans="3:20" ht="20.149999999999999" customHeight="1" x14ac:dyDescent="0.35"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</row>
    <row r="223" spans="3:20" ht="20.149999999999999" customHeight="1" x14ac:dyDescent="0.35"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</row>
    <row r="224" spans="3:20" ht="20.149999999999999" customHeight="1" x14ac:dyDescent="0.35"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</row>
    <row r="225" spans="3:20" ht="20.149999999999999" customHeight="1" x14ac:dyDescent="0.35"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</row>
    <row r="226" spans="3:20" ht="20.149999999999999" customHeight="1" x14ac:dyDescent="0.35"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</row>
    <row r="227" spans="3:20" ht="20.149999999999999" customHeight="1" x14ac:dyDescent="0.35"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</row>
    <row r="228" spans="3:20" ht="20.149999999999999" customHeight="1" x14ac:dyDescent="0.35"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</row>
    <row r="229" spans="3:20" ht="20.149999999999999" customHeight="1" x14ac:dyDescent="0.35"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</row>
    <row r="230" spans="3:20" ht="20.149999999999999" customHeight="1" x14ac:dyDescent="0.35"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</row>
    <row r="231" spans="3:20" ht="20.149999999999999" customHeight="1" x14ac:dyDescent="0.35"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</row>
    <row r="232" spans="3:20" ht="20.149999999999999" customHeight="1" x14ac:dyDescent="0.35"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</row>
    <row r="233" spans="3:20" ht="20.149999999999999" customHeight="1" x14ac:dyDescent="0.35"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</row>
    <row r="234" spans="3:20" ht="20.149999999999999" customHeight="1" x14ac:dyDescent="0.35"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</row>
    <row r="235" spans="3:20" ht="20.149999999999999" customHeight="1" x14ac:dyDescent="0.35"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</row>
    <row r="236" spans="3:20" ht="20.149999999999999" customHeight="1" x14ac:dyDescent="0.35"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</row>
    <row r="237" spans="3:20" ht="20.149999999999999" customHeight="1" x14ac:dyDescent="0.35"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</row>
    <row r="238" spans="3:20" ht="20.149999999999999" customHeight="1" x14ac:dyDescent="0.35"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</row>
    <row r="239" spans="3:20" ht="20.149999999999999" customHeight="1" x14ac:dyDescent="0.35"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</row>
    <row r="240" spans="3:20" ht="20.149999999999999" customHeight="1" x14ac:dyDescent="0.35"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</row>
    <row r="241" spans="3:20" ht="20.149999999999999" customHeight="1" x14ac:dyDescent="0.35"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</row>
    <row r="242" spans="3:20" ht="20.149999999999999" customHeight="1" x14ac:dyDescent="0.35"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</row>
    <row r="243" spans="3:20" ht="20.149999999999999" customHeight="1" x14ac:dyDescent="0.35"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</row>
    <row r="244" spans="3:20" ht="20.149999999999999" customHeight="1" x14ac:dyDescent="0.35"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</row>
    <row r="245" spans="3:20" ht="20.149999999999999" customHeight="1" x14ac:dyDescent="0.35"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</row>
    <row r="246" spans="3:20" ht="20.149999999999999" customHeight="1" x14ac:dyDescent="0.35"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</row>
    <row r="247" spans="3:20" ht="20.149999999999999" customHeight="1" x14ac:dyDescent="0.35"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</row>
    <row r="248" spans="3:20" ht="20.149999999999999" customHeight="1" x14ac:dyDescent="0.35"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</row>
    <row r="249" spans="3:20" ht="20.149999999999999" customHeight="1" x14ac:dyDescent="0.35"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</row>
    <row r="250" spans="3:20" ht="20.149999999999999" customHeight="1" x14ac:dyDescent="0.35"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</row>
    <row r="251" spans="3:20" ht="20.149999999999999" customHeight="1" x14ac:dyDescent="0.35"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</row>
    <row r="252" spans="3:20" ht="20.149999999999999" customHeight="1" x14ac:dyDescent="0.35"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</row>
    <row r="253" spans="3:20" ht="20.149999999999999" customHeight="1" x14ac:dyDescent="0.35"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</row>
    <row r="254" spans="3:20" ht="20.149999999999999" customHeight="1" x14ac:dyDescent="0.35"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</row>
    <row r="255" spans="3:20" ht="20.149999999999999" customHeight="1" x14ac:dyDescent="0.35"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</row>
    <row r="256" spans="3:20" ht="20.149999999999999" customHeight="1" x14ac:dyDescent="0.35"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</row>
    <row r="257" spans="3:20" ht="20.149999999999999" customHeight="1" x14ac:dyDescent="0.35"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</row>
    <row r="258" spans="3:20" ht="20.149999999999999" customHeight="1" x14ac:dyDescent="0.35"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</row>
    <row r="259" spans="3:20" ht="20.149999999999999" customHeight="1" x14ac:dyDescent="0.35"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</row>
    <row r="260" spans="3:20" ht="20.149999999999999" customHeight="1" x14ac:dyDescent="0.35"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</row>
    <row r="261" spans="3:20" ht="20.149999999999999" customHeight="1" x14ac:dyDescent="0.35"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</row>
    <row r="262" spans="3:20" ht="20.149999999999999" customHeight="1" x14ac:dyDescent="0.35"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</row>
    <row r="263" spans="3:20" ht="20.149999999999999" customHeight="1" x14ac:dyDescent="0.35"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</row>
    <row r="264" spans="3:20" ht="20.149999999999999" customHeight="1" x14ac:dyDescent="0.35"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</row>
    <row r="265" spans="3:20" ht="20.149999999999999" customHeight="1" x14ac:dyDescent="0.35"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</row>
    <row r="266" spans="3:20" ht="20.149999999999999" customHeight="1" x14ac:dyDescent="0.35"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</row>
    <row r="267" spans="3:20" ht="20.149999999999999" customHeight="1" x14ac:dyDescent="0.35"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</row>
    <row r="268" spans="3:20" ht="20.149999999999999" customHeight="1" x14ac:dyDescent="0.35"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</row>
    <row r="269" spans="3:20" ht="20.149999999999999" customHeight="1" x14ac:dyDescent="0.35"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</row>
    <row r="270" spans="3:20" ht="20.149999999999999" customHeight="1" x14ac:dyDescent="0.35"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</row>
    <row r="271" spans="3:20" ht="20.149999999999999" customHeight="1" x14ac:dyDescent="0.35"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</row>
    <row r="272" spans="3:20" ht="20.149999999999999" customHeight="1" x14ac:dyDescent="0.35"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</row>
    <row r="273" spans="3:20" ht="20.149999999999999" customHeight="1" x14ac:dyDescent="0.35"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</row>
    <row r="274" spans="3:20" ht="20.149999999999999" customHeight="1" x14ac:dyDescent="0.35"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</row>
    <row r="275" spans="3:20" ht="20.149999999999999" customHeight="1" x14ac:dyDescent="0.35"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</row>
    <row r="276" spans="3:20" ht="20.149999999999999" customHeight="1" x14ac:dyDescent="0.35"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</row>
    <row r="277" spans="3:20" ht="20.149999999999999" customHeight="1" x14ac:dyDescent="0.35"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</row>
    <row r="278" spans="3:20" ht="20.149999999999999" customHeight="1" x14ac:dyDescent="0.35"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</row>
    <row r="279" spans="3:20" ht="20.149999999999999" customHeight="1" x14ac:dyDescent="0.35"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</row>
    <row r="280" spans="3:20" ht="20.149999999999999" customHeight="1" x14ac:dyDescent="0.35"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</row>
    <row r="281" spans="3:20" ht="20.149999999999999" customHeight="1" x14ac:dyDescent="0.35"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</row>
    <row r="282" spans="3:20" ht="20.149999999999999" customHeight="1" x14ac:dyDescent="0.35"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</row>
    <row r="283" spans="3:20" ht="20.149999999999999" customHeight="1" x14ac:dyDescent="0.35"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</row>
    <row r="284" spans="3:20" ht="20.149999999999999" customHeight="1" x14ac:dyDescent="0.35"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</row>
    <row r="285" spans="3:20" ht="20.149999999999999" customHeight="1" x14ac:dyDescent="0.35"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</row>
    <row r="286" spans="3:20" ht="20.149999999999999" customHeight="1" x14ac:dyDescent="0.35"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</row>
    <row r="287" spans="3:20" ht="20.149999999999999" customHeight="1" x14ac:dyDescent="0.35"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</row>
    <row r="288" spans="3:20" ht="20.149999999999999" customHeight="1" x14ac:dyDescent="0.35"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</row>
    <row r="289" spans="3:20" ht="20.149999999999999" customHeight="1" x14ac:dyDescent="0.35"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</row>
    <row r="290" spans="3:20" ht="20.149999999999999" customHeight="1" x14ac:dyDescent="0.35"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</row>
    <row r="291" spans="3:20" ht="20.149999999999999" customHeight="1" x14ac:dyDescent="0.35"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</row>
    <row r="292" spans="3:20" ht="20.149999999999999" customHeight="1" x14ac:dyDescent="0.35"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</row>
    <row r="293" spans="3:20" ht="20.149999999999999" customHeight="1" x14ac:dyDescent="0.35"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</row>
    <row r="294" spans="3:20" ht="20.149999999999999" customHeight="1" x14ac:dyDescent="0.35"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</row>
    <row r="295" spans="3:20" ht="20.149999999999999" customHeight="1" x14ac:dyDescent="0.35"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</row>
    <row r="296" spans="3:20" ht="20.149999999999999" customHeight="1" x14ac:dyDescent="0.35"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</row>
    <row r="297" spans="3:20" ht="20.149999999999999" customHeight="1" x14ac:dyDescent="0.35"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</row>
    <row r="298" spans="3:20" ht="20.149999999999999" customHeight="1" x14ac:dyDescent="0.35"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</row>
    <row r="299" spans="3:20" ht="20.149999999999999" customHeight="1" x14ac:dyDescent="0.35"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</row>
    <row r="300" spans="3:20" ht="20.149999999999999" customHeight="1" x14ac:dyDescent="0.35"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</row>
    <row r="301" spans="3:20" ht="20.149999999999999" customHeight="1" x14ac:dyDescent="0.35"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</row>
    <row r="302" spans="3:20" ht="20.149999999999999" customHeight="1" x14ac:dyDescent="0.35"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</row>
    <row r="303" spans="3:20" ht="20.149999999999999" customHeight="1" x14ac:dyDescent="0.35"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</row>
    <row r="304" spans="3:20" ht="20.149999999999999" customHeight="1" x14ac:dyDescent="0.35"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</row>
    <row r="305" spans="3:20" ht="20.149999999999999" customHeight="1" x14ac:dyDescent="0.35"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</row>
    <row r="306" spans="3:20" ht="20.149999999999999" customHeight="1" x14ac:dyDescent="0.35"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</row>
    <row r="307" spans="3:20" ht="20.149999999999999" customHeight="1" x14ac:dyDescent="0.35"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</row>
    <row r="308" spans="3:20" ht="20.149999999999999" customHeight="1" x14ac:dyDescent="0.35"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</row>
    <row r="309" spans="3:20" ht="20.149999999999999" customHeight="1" x14ac:dyDescent="0.35"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</row>
    <row r="310" spans="3:20" ht="20.149999999999999" customHeight="1" x14ac:dyDescent="0.35"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</row>
    <row r="311" spans="3:20" ht="20.149999999999999" customHeight="1" x14ac:dyDescent="0.35"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</row>
    <row r="312" spans="3:20" ht="20.149999999999999" customHeight="1" x14ac:dyDescent="0.35"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</row>
    <row r="313" spans="3:20" ht="20.149999999999999" customHeight="1" x14ac:dyDescent="0.35"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</row>
    <row r="314" spans="3:20" ht="20.149999999999999" customHeight="1" x14ac:dyDescent="0.35"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</row>
    <row r="315" spans="3:20" ht="20.149999999999999" customHeight="1" x14ac:dyDescent="0.35"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</row>
    <row r="316" spans="3:20" ht="20.149999999999999" customHeight="1" x14ac:dyDescent="0.35"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</row>
    <row r="317" spans="3:20" ht="20.149999999999999" customHeight="1" x14ac:dyDescent="0.35"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</row>
    <row r="318" spans="3:20" ht="20.149999999999999" customHeight="1" x14ac:dyDescent="0.35"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</row>
    <row r="319" spans="3:20" ht="20.149999999999999" customHeight="1" x14ac:dyDescent="0.35"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</row>
    <row r="320" spans="3:20" ht="20.149999999999999" customHeight="1" x14ac:dyDescent="0.35"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</row>
    <row r="321" spans="3:20" ht="20.149999999999999" customHeight="1" x14ac:dyDescent="0.35"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</row>
    <row r="322" spans="3:20" ht="20.149999999999999" customHeight="1" x14ac:dyDescent="0.35"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</row>
    <row r="323" spans="3:20" ht="20.149999999999999" customHeight="1" x14ac:dyDescent="0.35"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</row>
    <row r="324" spans="3:20" ht="20.149999999999999" customHeight="1" x14ac:dyDescent="0.35"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</row>
    <row r="325" spans="3:20" ht="20.149999999999999" customHeight="1" x14ac:dyDescent="0.35"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</row>
    <row r="326" spans="3:20" ht="20.149999999999999" customHeight="1" x14ac:dyDescent="0.35"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</row>
    <row r="327" spans="3:20" ht="20.149999999999999" customHeight="1" x14ac:dyDescent="0.35"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</row>
    <row r="328" spans="3:20" ht="20.149999999999999" customHeight="1" x14ac:dyDescent="0.35"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</row>
    <row r="329" spans="3:20" ht="20.149999999999999" customHeight="1" x14ac:dyDescent="0.35"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</row>
    <row r="330" spans="3:20" ht="20.149999999999999" customHeight="1" x14ac:dyDescent="0.35"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</row>
    <row r="331" spans="3:20" ht="20.149999999999999" customHeight="1" x14ac:dyDescent="0.35"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</row>
    <row r="332" spans="3:20" ht="20.149999999999999" customHeight="1" x14ac:dyDescent="0.35"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</row>
    <row r="333" spans="3:20" ht="20.149999999999999" customHeight="1" x14ac:dyDescent="0.35"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</row>
    <row r="334" spans="3:20" ht="20.149999999999999" customHeight="1" x14ac:dyDescent="0.35"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</row>
    <row r="335" spans="3:20" ht="20.149999999999999" customHeight="1" x14ac:dyDescent="0.35"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</row>
    <row r="336" spans="3:20" ht="20.149999999999999" customHeight="1" x14ac:dyDescent="0.35"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</row>
    <row r="337" spans="3:20" ht="20.149999999999999" customHeight="1" x14ac:dyDescent="0.35"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</row>
    <row r="338" spans="3:20" ht="20.149999999999999" customHeight="1" x14ac:dyDescent="0.35"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</row>
    <row r="339" spans="3:20" ht="20.149999999999999" customHeight="1" x14ac:dyDescent="0.35"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</row>
    <row r="340" spans="3:20" ht="20.149999999999999" customHeight="1" x14ac:dyDescent="0.35"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</row>
    <row r="341" spans="3:20" ht="20.149999999999999" customHeight="1" x14ac:dyDescent="0.35"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</row>
    <row r="342" spans="3:20" ht="20.149999999999999" customHeight="1" x14ac:dyDescent="0.35"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</row>
    <row r="343" spans="3:20" ht="20.149999999999999" customHeight="1" x14ac:dyDescent="0.35"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</row>
    <row r="344" spans="3:20" ht="20.149999999999999" customHeight="1" x14ac:dyDescent="0.35"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</row>
    <row r="345" spans="3:20" ht="20.149999999999999" customHeight="1" x14ac:dyDescent="0.35"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</row>
    <row r="346" spans="3:20" ht="20.149999999999999" customHeight="1" x14ac:dyDescent="0.35"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</row>
    <row r="347" spans="3:20" ht="20.149999999999999" customHeight="1" x14ac:dyDescent="0.35"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</row>
    <row r="348" spans="3:20" ht="20.149999999999999" customHeight="1" x14ac:dyDescent="0.35"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</row>
    <row r="349" spans="3:20" ht="20.149999999999999" customHeight="1" x14ac:dyDescent="0.35"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</row>
    <row r="350" spans="3:20" ht="20.149999999999999" customHeight="1" x14ac:dyDescent="0.35"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</row>
    <row r="351" spans="3:20" ht="20.149999999999999" customHeight="1" x14ac:dyDescent="0.35"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</row>
    <row r="352" spans="3:20" ht="20.149999999999999" customHeight="1" x14ac:dyDescent="0.35"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</row>
    <row r="353" spans="3:20" ht="20.149999999999999" customHeight="1" x14ac:dyDescent="0.35"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</row>
  </sheetData>
  <printOptions horizontalCentered="1"/>
  <pageMargins left="0.25" right="0.25" top="0.5" bottom="0.5" header="0.3" footer="0.3"/>
  <pageSetup scale="42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Button 1">
              <controlPr defaultSize="0" print="0" autoFill="0" autoPict="0" macro="[0]!pdfPage9">
                <anchor moveWithCells="1" sizeWithCells="1">
                  <from>
                    <xdr:col>0</xdr:col>
                    <xdr:colOff>31750</xdr:colOff>
                    <xdr:row>0</xdr:row>
                    <xdr:rowOff>19050</xdr:rowOff>
                  </from>
                  <to>
                    <xdr:col>0</xdr:col>
                    <xdr:colOff>57150</xdr:colOff>
                    <xdr:row>0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2342C-64D9-422F-A135-138BAE1831E0}">
  <sheetPr transitionEvaluation="1" transitionEntry="1" codeName="Sheet11">
    <pageSetUpPr fitToPage="1"/>
  </sheetPr>
  <dimension ref="A1:HY73"/>
  <sheetViews>
    <sheetView defaultGridColor="0" topLeftCell="A3" colorId="22" zoomScale="85" zoomScaleNormal="85" zoomScaleSheetLayoutView="120" workbookViewId="0">
      <selection activeCell="S63" sqref="S63"/>
    </sheetView>
  </sheetViews>
  <sheetFormatPr defaultColWidth="9.58203125" defaultRowHeight="15.5" x14ac:dyDescent="0.35"/>
  <cols>
    <col min="1" max="1" width="40.58203125" style="9" customWidth="1"/>
    <col min="2" max="2" width="18.83203125" customWidth="1"/>
    <col min="3" max="3" width="18.83203125" hidden="1" customWidth="1"/>
    <col min="4" max="4" width="18.83203125" customWidth="1"/>
    <col min="5" max="5" width="18.83203125" hidden="1" customWidth="1"/>
    <col min="6" max="6" width="18.83203125" customWidth="1"/>
    <col min="7" max="7" width="18.83203125" hidden="1" customWidth="1"/>
    <col min="8" max="8" width="18.83203125" customWidth="1"/>
    <col min="9" max="9" width="18.83203125" hidden="1" customWidth="1"/>
    <col min="10" max="10" width="18.83203125" customWidth="1"/>
    <col min="11" max="11" width="18.83203125" hidden="1" customWidth="1"/>
    <col min="12" max="12" width="18.83203125" customWidth="1"/>
    <col min="13" max="14" width="18.83203125" hidden="1" customWidth="1"/>
    <col min="15" max="15" width="18.83203125" customWidth="1"/>
    <col min="16" max="16" width="18.83203125" hidden="1" customWidth="1"/>
    <col min="17" max="17" width="18.83203125" customWidth="1"/>
    <col min="18" max="18" width="18.83203125" hidden="1" customWidth="1"/>
    <col min="19" max="19" width="18.83203125" customWidth="1"/>
    <col min="20" max="20" width="2.58203125" customWidth="1"/>
  </cols>
  <sheetData>
    <row r="1" spans="1:233" s="2" customFormat="1" ht="21" x14ac:dyDescent="0.55000000000000004">
      <c r="A1" s="286" t="str">
        <f>Page_1!A1</f>
        <v>IRR 2023 Sch A-13 F.Z25.XLSM</v>
      </c>
      <c r="B1" s="263"/>
      <c r="C1" s="263"/>
      <c r="D1" s="263"/>
      <c r="E1" s="263"/>
      <c r="F1" s="263"/>
      <c r="G1" s="263"/>
      <c r="H1" s="268"/>
      <c r="I1" s="263"/>
      <c r="J1" s="263"/>
      <c r="K1" s="263"/>
      <c r="L1" s="263"/>
      <c r="M1" s="263"/>
      <c r="N1" s="263"/>
      <c r="O1" s="263"/>
      <c r="P1" s="263"/>
      <c r="Q1" s="263"/>
      <c r="R1" s="263"/>
      <c r="S1" s="264"/>
      <c r="T1" s="1"/>
      <c r="U1" s="1"/>
    </row>
    <row r="2" spans="1:233" s="2" customFormat="1" ht="21" x14ac:dyDescent="0.55000000000000004">
      <c r="A2" s="265" t="str">
        <f>Page_1!A2</f>
        <v>09/20/2022</v>
      </c>
      <c r="B2" s="262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4"/>
      <c r="T2" s="1"/>
      <c r="U2" s="1"/>
    </row>
    <row r="3" spans="1:233" s="2" customFormat="1" ht="21" x14ac:dyDescent="0.55000000000000004">
      <c r="A3" s="237" t="str">
        <f>Page_1!A3</f>
        <v>CENTRAL VALLEY PROJECT</v>
      </c>
      <c r="B3" s="262"/>
      <c r="C3" s="263"/>
      <c r="D3" s="263"/>
      <c r="E3" s="263"/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52"/>
      <c r="T3" s="1"/>
      <c r="U3" s="1"/>
    </row>
    <row r="4" spans="1:233" s="2" customFormat="1" ht="84" x14ac:dyDescent="0.55000000000000004">
      <c r="A4" s="237" t="str">
        <f>Page_1!A4</f>
        <v>SCHEDULE OF HISTORICAL (1981-2021) &amp; PROJECTED (2022-2030) IRRIGATION WATER DELIVERIES (IN ACRE FEET)</v>
      </c>
      <c r="B4" s="262"/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63"/>
      <c r="N4" s="263"/>
      <c r="O4" s="263"/>
      <c r="P4" s="263"/>
      <c r="Q4" s="263"/>
      <c r="R4" s="263"/>
      <c r="S4" s="252"/>
      <c r="T4" s="1"/>
      <c r="U4" s="1"/>
    </row>
    <row r="5" spans="1:233" s="2" customFormat="1" ht="63" x14ac:dyDescent="0.55000000000000004">
      <c r="A5" s="237" t="str">
        <f>Page_1!A5</f>
        <v>FOR CALCULATION OF INDIVIDUAL CONTRACTOR PRORATED CONSTRUCTION COSTS AND RATE</v>
      </c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1"/>
      <c r="U5" s="1"/>
      <c r="V5" s="21"/>
    </row>
    <row r="6" spans="1:233" s="46" customFormat="1" ht="105.5" thickBot="1" x14ac:dyDescent="0.4">
      <c r="A6" s="340" t="s">
        <v>34</v>
      </c>
      <c r="B6" s="384" t="s">
        <v>145</v>
      </c>
      <c r="C6" s="337" t="s">
        <v>409</v>
      </c>
      <c r="D6" s="337" t="s">
        <v>146</v>
      </c>
      <c r="E6" s="337" t="s">
        <v>410</v>
      </c>
      <c r="F6" s="338" t="s">
        <v>147</v>
      </c>
      <c r="G6" s="385" t="s">
        <v>411</v>
      </c>
      <c r="H6" s="386" t="s">
        <v>439</v>
      </c>
      <c r="I6" s="387" t="s">
        <v>412</v>
      </c>
      <c r="J6" s="388" t="s">
        <v>440</v>
      </c>
      <c r="K6" s="387" t="s">
        <v>413</v>
      </c>
      <c r="L6" s="389" t="s">
        <v>441</v>
      </c>
      <c r="M6" s="385" t="s">
        <v>414</v>
      </c>
      <c r="N6" s="385" t="s">
        <v>415</v>
      </c>
      <c r="O6" s="390" t="s">
        <v>148</v>
      </c>
      <c r="P6" s="385" t="s">
        <v>416</v>
      </c>
      <c r="Q6" s="339" t="s">
        <v>149</v>
      </c>
      <c r="R6" s="391" t="s">
        <v>417</v>
      </c>
      <c r="S6" s="339" t="s">
        <v>150</v>
      </c>
      <c r="T6" s="94"/>
      <c r="U6" s="94"/>
    </row>
    <row r="7" spans="1:233" s="110" customFormat="1" ht="16.5" hidden="1" thickBot="1" x14ac:dyDescent="0.4">
      <c r="A7" s="304"/>
      <c r="B7" s="305"/>
      <c r="C7" s="306"/>
      <c r="D7" s="307"/>
      <c r="E7" s="306"/>
      <c r="F7" s="308"/>
      <c r="G7" s="309"/>
      <c r="H7" s="310"/>
      <c r="I7" s="311"/>
      <c r="J7" s="312"/>
      <c r="K7" s="311"/>
      <c r="L7" s="313"/>
      <c r="M7" s="309"/>
      <c r="N7" s="309"/>
      <c r="O7" s="314"/>
      <c r="P7" s="309"/>
      <c r="Q7" s="315"/>
      <c r="R7" s="309"/>
      <c r="S7" s="315"/>
      <c r="T7" s="108"/>
      <c r="U7" s="108"/>
      <c r="V7" s="109"/>
    </row>
    <row r="8" spans="1:233" ht="17.5" hidden="1" x14ac:dyDescent="0.45">
      <c r="A8" s="272"/>
      <c r="B8" s="316">
        <f>50000-520+"contract less M&amp;I"</f>
        <v>49480</v>
      </c>
      <c r="C8" s="258" t="s">
        <v>102</v>
      </c>
      <c r="D8" s="316">
        <f>39600</f>
        <v>39600</v>
      </c>
      <c r="E8" s="258" t="s">
        <v>102</v>
      </c>
      <c r="F8" s="258" t="s">
        <v>102</v>
      </c>
      <c r="G8" s="260"/>
      <c r="H8" s="316">
        <v>97000</v>
      </c>
      <c r="I8" s="260"/>
      <c r="J8" s="316">
        <f>50000-5000</f>
        <v>45000</v>
      </c>
      <c r="K8" s="260"/>
      <c r="L8" s="260"/>
      <c r="M8" s="260"/>
      <c r="N8" s="260"/>
      <c r="O8" s="316">
        <v>10000</v>
      </c>
      <c r="P8" s="260"/>
      <c r="Q8" s="316">
        <f>7500-300</f>
        <v>7200</v>
      </c>
      <c r="R8" s="260"/>
      <c r="S8" s="316">
        <f>29000-1500+"Contract less M&amp;I"</f>
        <v>27500</v>
      </c>
      <c r="T8" s="5"/>
      <c r="U8" s="5"/>
    </row>
    <row r="9" spans="1:233" ht="17.5" hidden="1" x14ac:dyDescent="0.45">
      <c r="A9" s="272"/>
      <c r="B9" s="316"/>
      <c r="C9" s="258"/>
      <c r="D9" s="316"/>
      <c r="E9" s="258"/>
      <c r="F9" s="258"/>
      <c r="G9" s="260"/>
      <c r="H9" s="316"/>
      <c r="I9" s="260"/>
      <c r="J9" s="316"/>
      <c r="K9" s="260"/>
      <c r="L9" s="260"/>
      <c r="M9" s="260"/>
      <c r="N9" s="260"/>
      <c r="O9" s="316"/>
      <c r="P9" s="260"/>
      <c r="Q9" s="316"/>
      <c r="R9" s="260"/>
      <c r="S9" s="316"/>
      <c r="T9" s="5"/>
      <c r="U9" s="5"/>
    </row>
    <row r="10" spans="1:233" ht="17.5" hidden="1" x14ac:dyDescent="0.45">
      <c r="A10" s="272"/>
      <c r="B10" s="316"/>
      <c r="C10" s="258"/>
      <c r="D10" s="316"/>
      <c r="E10" s="258"/>
      <c r="F10" s="258"/>
      <c r="G10" s="260"/>
      <c r="H10" s="316"/>
      <c r="I10" s="260"/>
      <c r="J10" s="316"/>
      <c r="K10" s="260"/>
      <c r="L10" s="260"/>
      <c r="M10" s="260"/>
      <c r="N10" s="260"/>
      <c r="O10" s="316"/>
      <c r="P10" s="260"/>
      <c r="Q10" s="316"/>
      <c r="R10" s="260"/>
      <c r="S10" s="316"/>
      <c r="T10" s="5"/>
      <c r="U10" s="5"/>
    </row>
    <row r="11" spans="1:233" ht="18.5" x14ac:dyDescent="0.45">
      <c r="A11" s="269" t="s">
        <v>42</v>
      </c>
      <c r="B11" s="242">
        <v>63709</v>
      </c>
      <c r="C11" s="242" t="s">
        <v>102</v>
      </c>
      <c r="D11" s="242">
        <v>2917</v>
      </c>
      <c r="E11" s="242" t="s">
        <v>102</v>
      </c>
      <c r="F11" s="242">
        <f t="shared" ref="F11:F38" si="0">SUM(B11:D11)</f>
        <v>66626</v>
      </c>
      <c r="G11" s="242" t="s">
        <v>102</v>
      </c>
      <c r="H11" s="242">
        <v>110326</v>
      </c>
      <c r="I11" s="242" t="s">
        <v>102</v>
      </c>
      <c r="J11" s="242">
        <f>3000-Page_26!C8</f>
        <v>2700</v>
      </c>
      <c r="K11" s="242" t="s">
        <v>102</v>
      </c>
      <c r="L11" s="242">
        <f t="shared" ref="L11:L38" si="1">SUM(H11:J11)</f>
        <v>113026</v>
      </c>
      <c r="M11" s="242" t="s">
        <v>102</v>
      </c>
      <c r="N11" s="242" t="s">
        <v>102</v>
      </c>
      <c r="O11" s="242">
        <v>10647</v>
      </c>
      <c r="P11" s="242" t="s">
        <v>102</v>
      </c>
      <c r="Q11" s="242">
        <f>10388-Page_26!D8</f>
        <v>9972.48</v>
      </c>
      <c r="R11" s="242" t="s">
        <v>102</v>
      </c>
      <c r="S11" s="242">
        <v>29415</v>
      </c>
      <c r="T11" s="70" t="s">
        <v>102</v>
      </c>
      <c r="U11" s="70" t="s">
        <v>102</v>
      </c>
      <c r="V11" s="20"/>
      <c r="W11" s="20"/>
      <c r="X11" s="20"/>
      <c r="Y11" s="20"/>
      <c r="Z11" s="20"/>
      <c r="AA11" s="20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</row>
    <row r="12" spans="1:233" ht="18.5" x14ac:dyDescent="0.45">
      <c r="A12" s="269" t="s">
        <v>43</v>
      </c>
      <c r="B12" s="242">
        <v>31594</v>
      </c>
      <c r="C12" s="242" t="s">
        <v>102</v>
      </c>
      <c r="D12" s="242">
        <v>45936</v>
      </c>
      <c r="E12" s="242" t="s">
        <v>102</v>
      </c>
      <c r="F12" s="242">
        <f t="shared" si="0"/>
        <v>77530</v>
      </c>
      <c r="G12" s="242" t="s">
        <v>102</v>
      </c>
      <c r="H12" s="242">
        <v>77645</v>
      </c>
      <c r="I12" s="242" t="s">
        <v>102</v>
      </c>
      <c r="J12" s="242">
        <f>56000-Page_26!C9</f>
        <v>50400</v>
      </c>
      <c r="K12" s="242" t="s">
        <v>102</v>
      </c>
      <c r="L12" s="242">
        <f t="shared" si="1"/>
        <v>128045</v>
      </c>
      <c r="M12" s="242" t="s">
        <v>102</v>
      </c>
      <c r="N12" s="242" t="s">
        <v>102</v>
      </c>
      <c r="O12" s="242">
        <v>8667</v>
      </c>
      <c r="P12" s="242" t="s">
        <v>102</v>
      </c>
      <c r="Q12" s="242">
        <f>4156-Page_26!D9</f>
        <v>3989.76</v>
      </c>
      <c r="R12" s="242" t="s">
        <v>102</v>
      </c>
      <c r="S12" s="242">
        <v>29036</v>
      </c>
      <c r="T12" s="70" t="s">
        <v>102</v>
      </c>
      <c r="U12" s="70" t="s">
        <v>102</v>
      </c>
      <c r="V12" s="20"/>
      <c r="W12" s="20"/>
      <c r="X12" s="20"/>
      <c r="Y12" s="20"/>
      <c r="Z12" s="20"/>
      <c r="AA12" s="20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</row>
    <row r="13" spans="1:233" ht="18.5" x14ac:dyDescent="0.45">
      <c r="A13" s="269" t="s">
        <v>44</v>
      </c>
      <c r="B13" s="242">
        <v>54680</v>
      </c>
      <c r="C13" s="242" t="s">
        <v>102</v>
      </c>
      <c r="D13" s="242">
        <v>39600</v>
      </c>
      <c r="E13" s="242" t="s">
        <v>102</v>
      </c>
      <c r="F13" s="242">
        <f t="shared" si="0"/>
        <v>94280</v>
      </c>
      <c r="G13" s="242" t="s">
        <v>102</v>
      </c>
      <c r="H13" s="242">
        <v>85147</v>
      </c>
      <c r="I13" s="242" t="s">
        <v>102</v>
      </c>
      <c r="J13" s="242">
        <f>50000-Page_26!C10</f>
        <v>45000</v>
      </c>
      <c r="K13" s="242" t="s">
        <v>102</v>
      </c>
      <c r="L13" s="242">
        <f t="shared" si="1"/>
        <v>130147</v>
      </c>
      <c r="M13" s="242" t="s">
        <v>102</v>
      </c>
      <c r="N13" s="242" t="s">
        <v>102</v>
      </c>
      <c r="O13" s="242">
        <v>9347</v>
      </c>
      <c r="P13" s="242" t="s">
        <v>102</v>
      </c>
      <c r="Q13" s="242">
        <f>7141-Page_26!D10</f>
        <v>6855.36</v>
      </c>
      <c r="R13" s="242" t="s">
        <v>102</v>
      </c>
      <c r="S13" s="242">
        <v>10256</v>
      </c>
      <c r="T13" s="70" t="s">
        <v>102</v>
      </c>
      <c r="U13" s="70" t="s">
        <v>102</v>
      </c>
      <c r="V13" s="20"/>
      <c r="W13" s="20"/>
      <c r="X13" s="20"/>
      <c r="Y13" s="20"/>
      <c r="Z13" s="20"/>
      <c r="AA13" s="20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  <c r="HX13" s="21"/>
      <c r="HY13" s="21"/>
    </row>
    <row r="14" spans="1:233" ht="18.5" x14ac:dyDescent="0.45">
      <c r="A14" s="269" t="s">
        <v>45</v>
      </c>
      <c r="B14" s="242">
        <v>60792</v>
      </c>
      <c r="C14" s="242" t="s">
        <v>102</v>
      </c>
      <c r="D14" s="242">
        <v>19008</v>
      </c>
      <c r="E14" s="242" t="s">
        <v>102</v>
      </c>
      <c r="F14" s="242">
        <f t="shared" si="0"/>
        <v>79800</v>
      </c>
      <c r="G14" s="242" t="s">
        <v>102</v>
      </c>
      <c r="H14" s="242">
        <v>128302</v>
      </c>
      <c r="I14" s="242" t="s">
        <v>102</v>
      </c>
      <c r="J14" s="242">
        <f>24000-Page_26!C11</f>
        <v>21600</v>
      </c>
      <c r="K14" s="242" t="s">
        <v>102</v>
      </c>
      <c r="L14" s="242">
        <f t="shared" si="1"/>
        <v>149902</v>
      </c>
      <c r="M14" s="242" t="s">
        <v>102</v>
      </c>
      <c r="N14" s="242" t="s">
        <v>102</v>
      </c>
      <c r="O14" s="242">
        <v>12662</v>
      </c>
      <c r="P14" s="242" t="s">
        <v>102</v>
      </c>
      <c r="Q14" s="242">
        <f>11836-Page_26!D11</f>
        <v>11362.56</v>
      </c>
      <c r="R14" s="242" t="s">
        <v>102</v>
      </c>
      <c r="S14" s="242">
        <v>49430</v>
      </c>
      <c r="T14" s="70" t="s">
        <v>102</v>
      </c>
      <c r="U14" s="70" t="s">
        <v>102</v>
      </c>
      <c r="V14" s="20"/>
      <c r="W14" s="20"/>
      <c r="X14" s="20"/>
      <c r="Y14" s="20"/>
      <c r="Z14" s="20"/>
      <c r="AA14" s="20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CD14" s="21"/>
      <c r="CE14" s="21"/>
      <c r="CF14" s="21"/>
      <c r="CG14" s="21"/>
      <c r="CH14" s="21"/>
      <c r="CI14" s="21"/>
      <c r="CJ14" s="21"/>
      <c r="CK14" s="21"/>
      <c r="CL14" s="21"/>
      <c r="CM14" s="21"/>
      <c r="CN14" s="21"/>
      <c r="CO14" s="21"/>
      <c r="CP14" s="21"/>
      <c r="CQ14" s="21"/>
      <c r="CR14" s="21"/>
      <c r="CS14" s="21"/>
      <c r="CT14" s="21"/>
      <c r="CU14" s="21"/>
      <c r="CV14" s="21"/>
      <c r="CW14" s="21"/>
      <c r="CX14" s="21"/>
      <c r="CY14" s="21"/>
      <c r="CZ14" s="21"/>
      <c r="DA14" s="21"/>
      <c r="DB14" s="21"/>
      <c r="DC14" s="21"/>
      <c r="DD14" s="21"/>
      <c r="DE14" s="21"/>
      <c r="DF14" s="21"/>
      <c r="DG14" s="21"/>
      <c r="DH14" s="21"/>
      <c r="DI14" s="21"/>
      <c r="DJ14" s="21"/>
      <c r="DK14" s="21"/>
      <c r="DL14" s="21"/>
      <c r="DM14" s="21"/>
      <c r="DN14" s="21"/>
      <c r="DO14" s="21"/>
      <c r="DP14" s="21"/>
      <c r="DQ14" s="21"/>
      <c r="DR14" s="21"/>
      <c r="DS14" s="21"/>
      <c r="DT14" s="21"/>
      <c r="DU14" s="21"/>
      <c r="DV14" s="21"/>
      <c r="DW14" s="21"/>
      <c r="DX14" s="21"/>
      <c r="DY14" s="21"/>
      <c r="DZ14" s="21"/>
      <c r="EA14" s="21"/>
      <c r="EB14" s="21"/>
      <c r="EC14" s="21"/>
      <c r="ED14" s="21"/>
      <c r="EE14" s="21"/>
      <c r="EF14" s="21"/>
      <c r="EG14" s="21"/>
      <c r="EH14" s="21"/>
      <c r="EI14" s="21"/>
      <c r="EJ14" s="21"/>
      <c r="EK14" s="21"/>
      <c r="EL14" s="21"/>
      <c r="EM14" s="21"/>
      <c r="EN14" s="21"/>
      <c r="EO14" s="21"/>
      <c r="EP14" s="21"/>
      <c r="EQ14" s="21"/>
      <c r="ER14" s="21"/>
      <c r="ES14" s="21"/>
      <c r="ET14" s="21"/>
      <c r="EU14" s="21"/>
      <c r="EV14" s="21"/>
      <c r="EW14" s="21"/>
      <c r="EX14" s="21"/>
      <c r="EY14" s="21"/>
      <c r="EZ14" s="21"/>
      <c r="FA14" s="21"/>
      <c r="FB14" s="21"/>
      <c r="FC14" s="21"/>
      <c r="FD14" s="21"/>
      <c r="FE14" s="21"/>
      <c r="FF14" s="21"/>
      <c r="FG14" s="21"/>
      <c r="FH14" s="21"/>
      <c r="FI14" s="21"/>
      <c r="FJ14" s="21"/>
      <c r="FK14" s="21"/>
      <c r="FL14" s="21"/>
      <c r="FM14" s="21"/>
      <c r="FN14" s="21"/>
      <c r="FO14" s="21"/>
      <c r="FP14" s="21"/>
      <c r="FQ14" s="21"/>
      <c r="FR14" s="21"/>
      <c r="FS14" s="21"/>
      <c r="FT14" s="21"/>
      <c r="FU14" s="21"/>
      <c r="FV14" s="21"/>
      <c r="FW14" s="21"/>
      <c r="FX14" s="21"/>
      <c r="FY14" s="21"/>
      <c r="FZ14" s="21"/>
      <c r="GA14" s="21"/>
      <c r="GB14" s="21"/>
      <c r="GC14" s="21"/>
      <c r="GD14" s="21"/>
      <c r="GE14" s="21"/>
      <c r="GF14" s="21"/>
      <c r="GG14" s="21"/>
      <c r="GH14" s="21"/>
      <c r="GI14" s="21"/>
      <c r="GJ14" s="21"/>
      <c r="GK14" s="21"/>
      <c r="GL14" s="21"/>
      <c r="GM14" s="21"/>
      <c r="GN14" s="21"/>
      <c r="GO14" s="21"/>
      <c r="GP14" s="21"/>
      <c r="GQ14" s="21"/>
      <c r="GR14" s="21"/>
      <c r="GS14" s="21"/>
      <c r="GT14" s="21"/>
      <c r="GU14" s="21"/>
      <c r="GV14" s="21"/>
      <c r="GW14" s="21"/>
      <c r="GX14" s="21"/>
      <c r="GY14" s="21"/>
      <c r="GZ14" s="21"/>
      <c r="HA14" s="21"/>
      <c r="HB14" s="21"/>
      <c r="HC14" s="21"/>
      <c r="HD14" s="21"/>
      <c r="HE14" s="21"/>
      <c r="HF14" s="21"/>
      <c r="HG14" s="21"/>
      <c r="HH14" s="21"/>
      <c r="HI14" s="21"/>
      <c r="HJ14" s="21"/>
      <c r="HK14" s="21"/>
      <c r="HL14" s="21"/>
      <c r="HM14" s="21"/>
      <c r="HN14" s="21"/>
      <c r="HO14" s="21"/>
      <c r="HP14" s="21"/>
      <c r="HQ14" s="21"/>
      <c r="HR14" s="21"/>
      <c r="HS14" s="21"/>
      <c r="HT14" s="21"/>
      <c r="HU14" s="21"/>
      <c r="HV14" s="21"/>
      <c r="HW14" s="21"/>
      <c r="HX14" s="21"/>
      <c r="HY14" s="21"/>
    </row>
    <row r="15" spans="1:233" ht="18.5" x14ac:dyDescent="0.45">
      <c r="A15" s="269" t="s">
        <v>46</v>
      </c>
      <c r="B15" s="242">
        <v>59602</v>
      </c>
      <c r="C15" s="297"/>
      <c r="D15" s="242">
        <v>2696</v>
      </c>
      <c r="E15" s="242" t="s">
        <v>102</v>
      </c>
      <c r="F15" s="242">
        <f t="shared" si="0"/>
        <v>62298</v>
      </c>
      <c r="G15" s="242" t="s">
        <v>102</v>
      </c>
      <c r="H15" s="242">
        <v>101545</v>
      </c>
      <c r="I15" s="297"/>
      <c r="J15" s="242">
        <f>2605-Page_26!C12</f>
        <v>2344.5</v>
      </c>
      <c r="K15" s="242" t="s">
        <v>102</v>
      </c>
      <c r="L15" s="242">
        <f t="shared" si="1"/>
        <v>103889.5</v>
      </c>
      <c r="M15" s="242" t="s">
        <v>102</v>
      </c>
      <c r="N15" s="242" t="s">
        <v>102</v>
      </c>
      <c r="O15" s="242">
        <v>9974</v>
      </c>
      <c r="P15" s="297"/>
      <c r="Q15" s="242">
        <f>6856-Page_26!D12</f>
        <v>6581.76</v>
      </c>
      <c r="R15" s="242" t="s">
        <v>102</v>
      </c>
      <c r="S15" s="242">
        <v>27732</v>
      </c>
      <c r="T15" s="112"/>
      <c r="U15" s="70" t="s">
        <v>102</v>
      </c>
      <c r="V15" s="20"/>
      <c r="W15" s="20"/>
      <c r="X15" s="20"/>
      <c r="Y15" s="20"/>
      <c r="Z15" s="20"/>
      <c r="AA15" s="20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CD15" s="21"/>
      <c r="CE15" s="21"/>
      <c r="CF15" s="21"/>
      <c r="CG15" s="21"/>
      <c r="CH15" s="21"/>
      <c r="CI15" s="21"/>
      <c r="CJ15" s="21"/>
      <c r="CK15" s="21"/>
      <c r="CL15" s="21"/>
      <c r="CM15" s="21"/>
      <c r="CN15" s="21"/>
      <c r="CO15" s="21"/>
      <c r="CP15" s="21"/>
      <c r="CQ15" s="21"/>
      <c r="CR15" s="21"/>
      <c r="CS15" s="21"/>
      <c r="CT15" s="21"/>
      <c r="CU15" s="21"/>
      <c r="CV15" s="21"/>
      <c r="CW15" s="21"/>
      <c r="CX15" s="21"/>
      <c r="CY15" s="21"/>
      <c r="CZ15" s="21"/>
      <c r="DA15" s="21"/>
      <c r="DB15" s="21"/>
      <c r="DC15" s="21"/>
      <c r="DD15" s="21"/>
      <c r="DE15" s="21"/>
      <c r="DF15" s="21"/>
      <c r="DG15" s="21"/>
      <c r="DH15" s="21"/>
      <c r="DI15" s="21"/>
      <c r="DJ15" s="21"/>
      <c r="DK15" s="21"/>
      <c r="DL15" s="21"/>
      <c r="DM15" s="21"/>
      <c r="DN15" s="21"/>
      <c r="DO15" s="21"/>
      <c r="DP15" s="21"/>
      <c r="DQ15" s="21"/>
      <c r="DR15" s="21"/>
      <c r="DS15" s="21"/>
      <c r="DT15" s="21"/>
      <c r="DU15" s="21"/>
      <c r="DV15" s="21"/>
      <c r="DW15" s="21"/>
      <c r="DX15" s="21"/>
      <c r="DY15" s="21"/>
      <c r="DZ15" s="21"/>
      <c r="EA15" s="21"/>
      <c r="EB15" s="21"/>
      <c r="EC15" s="21"/>
      <c r="ED15" s="21"/>
      <c r="EE15" s="21"/>
      <c r="EF15" s="21"/>
      <c r="EG15" s="21"/>
      <c r="EH15" s="21"/>
      <c r="EI15" s="21"/>
      <c r="EJ15" s="21"/>
      <c r="EK15" s="21"/>
      <c r="EL15" s="21"/>
      <c r="EM15" s="21"/>
      <c r="EN15" s="21"/>
      <c r="EO15" s="21"/>
      <c r="EP15" s="21"/>
      <c r="EQ15" s="21"/>
      <c r="ER15" s="21"/>
      <c r="ES15" s="21"/>
      <c r="ET15" s="21"/>
      <c r="EU15" s="21"/>
      <c r="EV15" s="21"/>
      <c r="EW15" s="21"/>
      <c r="EX15" s="21"/>
      <c r="EY15" s="21"/>
      <c r="EZ15" s="21"/>
      <c r="FA15" s="21"/>
      <c r="FB15" s="21"/>
      <c r="FC15" s="21"/>
      <c r="FD15" s="21"/>
      <c r="FE15" s="21"/>
      <c r="FF15" s="21"/>
      <c r="FG15" s="21"/>
      <c r="FH15" s="21"/>
      <c r="FI15" s="21"/>
      <c r="FJ15" s="21"/>
      <c r="FK15" s="21"/>
      <c r="FL15" s="21"/>
      <c r="FM15" s="21"/>
      <c r="FN15" s="21"/>
      <c r="FO15" s="21"/>
      <c r="FP15" s="21"/>
      <c r="FQ15" s="21"/>
      <c r="FR15" s="21"/>
      <c r="FS15" s="21"/>
      <c r="FT15" s="21"/>
      <c r="FU15" s="21"/>
      <c r="FV15" s="21"/>
      <c r="FW15" s="21"/>
      <c r="FX15" s="21"/>
      <c r="FY15" s="21"/>
      <c r="FZ15" s="21"/>
      <c r="GA15" s="21"/>
      <c r="GB15" s="21"/>
      <c r="GC15" s="21"/>
      <c r="GD15" s="21"/>
      <c r="GE15" s="21"/>
      <c r="GF15" s="21"/>
      <c r="GG15" s="21"/>
      <c r="GH15" s="21"/>
      <c r="GI15" s="21"/>
      <c r="GJ15" s="21"/>
      <c r="GK15" s="21"/>
      <c r="GL15" s="21"/>
      <c r="GM15" s="21"/>
      <c r="GN15" s="21"/>
      <c r="GO15" s="21"/>
      <c r="GP15" s="21"/>
      <c r="GQ15" s="21"/>
      <c r="GR15" s="21"/>
      <c r="GS15" s="21"/>
      <c r="GT15" s="21"/>
      <c r="GU15" s="21"/>
      <c r="GV15" s="21"/>
      <c r="GW15" s="21"/>
      <c r="GX15" s="21"/>
      <c r="GY15" s="21"/>
      <c r="GZ15" s="21"/>
      <c r="HA15" s="21"/>
      <c r="HB15" s="21"/>
      <c r="HC15" s="21"/>
      <c r="HD15" s="21"/>
      <c r="HE15" s="21"/>
      <c r="HF15" s="21"/>
      <c r="HG15" s="21"/>
      <c r="HH15" s="21"/>
      <c r="HI15" s="21"/>
      <c r="HJ15" s="21"/>
      <c r="HK15" s="21"/>
      <c r="HL15" s="21"/>
      <c r="HM15" s="21"/>
      <c r="HN15" s="21"/>
      <c r="HO15" s="21"/>
      <c r="HP15" s="21"/>
      <c r="HQ15" s="21"/>
      <c r="HR15" s="21"/>
      <c r="HS15" s="21"/>
      <c r="HT15" s="21"/>
      <c r="HU15" s="21"/>
      <c r="HV15" s="21"/>
      <c r="HW15" s="21"/>
      <c r="HX15" s="21"/>
      <c r="HY15" s="21"/>
    </row>
    <row r="16" spans="1:233" ht="18.5" x14ac:dyDescent="0.45">
      <c r="A16" s="269" t="s">
        <v>47</v>
      </c>
      <c r="B16" s="242">
        <v>33016</v>
      </c>
      <c r="C16" s="242" t="s">
        <v>102</v>
      </c>
      <c r="D16" s="242">
        <v>43767</v>
      </c>
      <c r="E16" s="242" t="s">
        <v>102</v>
      </c>
      <c r="F16" s="242">
        <f t="shared" si="0"/>
        <v>76783</v>
      </c>
      <c r="G16" s="242" t="s">
        <v>102</v>
      </c>
      <c r="H16" s="242">
        <v>80970</v>
      </c>
      <c r="I16" s="242" t="s">
        <v>102</v>
      </c>
      <c r="J16" s="242">
        <f>56077-Page_26!C13</f>
        <v>50469.3</v>
      </c>
      <c r="K16" s="242" t="s">
        <v>102</v>
      </c>
      <c r="L16" s="242">
        <f t="shared" si="1"/>
        <v>131439.29999999999</v>
      </c>
      <c r="M16" s="242" t="s">
        <v>102</v>
      </c>
      <c r="N16" s="242" t="s">
        <v>102</v>
      </c>
      <c r="O16" s="242">
        <v>10189</v>
      </c>
      <c r="P16" s="242" t="s">
        <v>102</v>
      </c>
      <c r="Q16" s="242">
        <f>8054-Page_26!D13</f>
        <v>7731.84</v>
      </c>
      <c r="R16" s="242" t="s">
        <v>102</v>
      </c>
      <c r="S16" s="242">
        <v>29689</v>
      </c>
      <c r="T16" s="70" t="s">
        <v>102</v>
      </c>
      <c r="U16" s="70" t="s">
        <v>102</v>
      </c>
      <c r="V16" s="20"/>
      <c r="W16" s="20"/>
      <c r="X16" s="20"/>
      <c r="Y16" s="20"/>
      <c r="Z16" s="20"/>
      <c r="AA16" s="20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</row>
    <row r="17" spans="1:233" ht="18.5" x14ac:dyDescent="0.45">
      <c r="A17" s="269" t="s">
        <v>48</v>
      </c>
      <c r="B17" s="242">
        <v>54379</v>
      </c>
      <c r="C17" s="242" t="s">
        <v>102</v>
      </c>
      <c r="D17" s="248">
        <v>0</v>
      </c>
      <c r="E17" s="242" t="s">
        <v>102</v>
      </c>
      <c r="F17" s="242">
        <f t="shared" si="0"/>
        <v>54379</v>
      </c>
      <c r="G17" s="242" t="s">
        <v>102</v>
      </c>
      <c r="H17" s="242">
        <v>91239</v>
      </c>
      <c r="I17" s="242" t="s">
        <v>102</v>
      </c>
      <c r="J17" s="248">
        <f>0-Page_26!C14</f>
        <v>0</v>
      </c>
      <c r="K17" s="242" t="s">
        <v>102</v>
      </c>
      <c r="L17" s="242">
        <f t="shared" si="1"/>
        <v>91239</v>
      </c>
      <c r="M17" s="242" t="s">
        <v>102</v>
      </c>
      <c r="N17" s="242" t="s">
        <v>102</v>
      </c>
      <c r="O17" s="242">
        <v>6668</v>
      </c>
      <c r="P17" s="242" t="s">
        <v>102</v>
      </c>
      <c r="Q17" s="242">
        <f>5784-Page_26!D14</f>
        <v>5552.64</v>
      </c>
      <c r="R17" s="242" t="s">
        <v>102</v>
      </c>
      <c r="S17" s="242">
        <v>22176</v>
      </c>
      <c r="T17" s="70" t="s">
        <v>102</v>
      </c>
      <c r="U17" s="70" t="s">
        <v>102</v>
      </c>
      <c r="V17" s="20"/>
      <c r="W17" s="20"/>
      <c r="X17" s="20"/>
      <c r="Y17" s="20"/>
      <c r="Z17" s="20"/>
      <c r="AA17" s="20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CD17" s="21"/>
      <c r="CE17" s="21"/>
      <c r="CF17" s="21"/>
      <c r="CG17" s="21"/>
      <c r="CH17" s="21"/>
      <c r="CI17" s="21"/>
      <c r="CJ17" s="21"/>
      <c r="CK17" s="21"/>
      <c r="CL17" s="21"/>
      <c r="CM17" s="21"/>
      <c r="CN17" s="21"/>
      <c r="CO17" s="21"/>
      <c r="CP17" s="21"/>
      <c r="CQ17" s="21"/>
      <c r="CR17" s="21"/>
      <c r="CS17" s="21"/>
      <c r="CT17" s="21"/>
      <c r="CU17" s="21"/>
      <c r="CV17" s="21"/>
      <c r="CW17" s="21"/>
      <c r="CX17" s="21"/>
      <c r="CY17" s="21"/>
      <c r="CZ17" s="21"/>
      <c r="DA17" s="21"/>
      <c r="DB17" s="21"/>
      <c r="DC17" s="21"/>
      <c r="DD17" s="21"/>
      <c r="DE17" s="21"/>
      <c r="DF17" s="21"/>
      <c r="DG17" s="21"/>
      <c r="DH17" s="21"/>
      <c r="DI17" s="21"/>
      <c r="DJ17" s="21"/>
      <c r="DK17" s="21"/>
      <c r="DL17" s="21"/>
      <c r="DM17" s="21"/>
      <c r="DN17" s="21"/>
      <c r="DO17" s="21"/>
      <c r="DP17" s="21"/>
      <c r="DQ17" s="21"/>
      <c r="DR17" s="21"/>
      <c r="DS17" s="21"/>
      <c r="DT17" s="21"/>
      <c r="DU17" s="21"/>
      <c r="DV17" s="21"/>
      <c r="DW17" s="21"/>
      <c r="DX17" s="21"/>
      <c r="DY17" s="21"/>
      <c r="DZ17" s="21"/>
      <c r="EA17" s="21"/>
      <c r="EB17" s="21"/>
      <c r="EC17" s="21"/>
      <c r="ED17" s="21"/>
      <c r="EE17" s="21"/>
      <c r="EF17" s="21"/>
      <c r="EG17" s="21"/>
      <c r="EH17" s="21"/>
      <c r="EI17" s="21"/>
      <c r="EJ17" s="21"/>
      <c r="EK17" s="21"/>
      <c r="EL17" s="21"/>
      <c r="EM17" s="21"/>
      <c r="EN17" s="21"/>
      <c r="EO17" s="21"/>
      <c r="EP17" s="21"/>
      <c r="EQ17" s="21"/>
      <c r="ER17" s="21"/>
      <c r="ES17" s="21"/>
      <c r="ET17" s="21"/>
      <c r="EU17" s="21"/>
      <c r="EV17" s="21"/>
      <c r="EW17" s="21"/>
      <c r="EX17" s="21"/>
      <c r="EY17" s="21"/>
      <c r="EZ17" s="21"/>
      <c r="FA17" s="21"/>
      <c r="FB17" s="21"/>
      <c r="FC17" s="21"/>
      <c r="FD17" s="21"/>
      <c r="FE17" s="21"/>
      <c r="FF17" s="21"/>
      <c r="FG17" s="21"/>
      <c r="FH17" s="21"/>
      <c r="FI17" s="21"/>
      <c r="FJ17" s="21"/>
      <c r="FK17" s="21"/>
      <c r="FL17" s="21"/>
      <c r="FM17" s="21"/>
      <c r="FN17" s="21"/>
      <c r="FO17" s="21"/>
      <c r="FP17" s="21"/>
      <c r="FQ17" s="21"/>
      <c r="FR17" s="21"/>
      <c r="FS17" s="21"/>
      <c r="FT17" s="21"/>
      <c r="FU17" s="21"/>
      <c r="FV17" s="21"/>
      <c r="FW17" s="21"/>
      <c r="FX17" s="21"/>
      <c r="FY17" s="21"/>
      <c r="FZ17" s="21"/>
      <c r="GA17" s="21"/>
      <c r="GB17" s="21"/>
      <c r="GC17" s="21"/>
      <c r="GD17" s="21"/>
      <c r="GE17" s="21"/>
      <c r="GF17" s="21"/>
      <c r="GG17" s="21"/>
      <c r="GH17" s="21"/>
      <c r="GI17" s="21"/>
      <c r="GJ17" s="21"/>
      <c r="GK17" s="21"/>
      <c r="GL17" s="21"/>
      <c r="GM17" s="21"/>
      <c r="GN17" s="21"/>
      <c r="GO17" s="21"/>
      <c r="GP17" s="21"/>
      <c r="GQ17" s="21"/>
      <c r="GR17" s="21"/>
      <c r="GS17" s="21"/>
      <c r="GT17" s="21"/>
      <c r="GU17" s="21"/>
      <c r="GV17" s="21"/>
      <c r="GW17" s="21"/>
      <c r="GX17" s="21"/>
      <c r="GY17" s="21"/>
      <c r="GZ17" s="21"/>
      <c r="HA17" s="21"/>
      <c r="HB17" s="21"/>
      <c r="HC17" s="21"/>
      <c r="HD17" s="21"/>
      <c r="HE17" s="21"/>
      <c r="HF17" s="21"/>
      <c r="HG17" s="21"/>
      <c r="HH17" s="21"/>
      <c r="HI17" s="21"/>
      <c r="HJ17" s="21"/>
      <c r="HK17" s="21"/>
      <c r="HL17" s="21"/>
      <c r="HM17" s="21"/>
      <c r="HN17" s="21"/>
      <c r="HO17" s="21"/>
      <c r="HP17" s="21"/>
      <c r="HQ17" s="21"/>
      <c r="HR17" s="21"/>
      <c r="HS17" s="21"/>
      <c r="HT17" s="21"/>
      <c r="HU17" s="21"/>
      <c r="HV17" s="21"/>
      <c r="HW17" s="21"/>
      <c r="HX17" s="21"/>
      <c r="HY17" s="21"/>
    </row>
    <row r="18" spans="1:233" ht="18.5" x14ac:dyDescent="0.45">
      <c r="A18" s="269" t="s">
        <v>49</v>
      </c>
      <c r="B18" s="242">
        <v>43351</v>
      </c>
      <c r="C18" s="242" t="s">
        <v>102</v>
      </c>
      <c r="D18" s="248">
        <v>0</v>
      </c>
      <c r="E18" s="242" t="s">
        <v>102</v>
      </c>
      <c r="F18" s="242">
        <f t="shared" si="0"/>
        <v>43351</v>
      </c>
      <c r="G18" s="242" t="s">
        <v>102</v>
      </c>
      <c r="H18" s="242">
        <v>91277</v>
      </c>
      <c r="I18" s="242" t="s">
        <v>102</v>
      </c>
      <c r="J18" s="248">
        <f>0-Page_26!C15</f>
        <v>0</v>
      </c>
      <c r="K18" s="242" t="s">
        <v>102</v>
      </c>
      <c r="L18" s="242">
        <f t="shared" si="1"/>
        <v>91277</v>
      </c>
      <c r="M18" s="242" t="s">
        <v>102</v>
      </c>
      <c r="N18" s="242" t="s">
        <v>102</v>
      </c>
      <c r="O18" s="242">
        <v>10812</v>
      </c>
      <c r="P18" s="242" t="s">
        <v>102</v>
      </c>
      <c r="Q18" s="242">
        <f>7084-Page_26!D15</f>
        <v>6800.64</v>
      </c>
      <c r="R18" s="242" t="s">
        <v>102</v>
      </c>
      <c r="S18" s="242">
        <v>26648</v>
      </c>
      <c r="T18" s="70" t="s">
        <v>102</v>
      </c>
      <c r="U18" s="70" t="s">
        <v>102</v>
      </c>
      <c r="V18" s="20"/>
      <c r="W18" s="20"/>
      <c r="X18" s="20"/>
      <c r="Y18" s="20"/>
      <c r="Z18" s="20"/>
      <c r="AA18" s="20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</row>
    <row r="19" spans="1:233" ht="18.5" x14ac:dyDescent="0.45">
      <c r="A19" s="269" t="s">
        <v>50</v>
      </c>
      <c r="B19" s="242">
        <v>49900</v>
      </c>
      <c r="C19" s="242" t="s">
        <v>102</v>
      </c>
      <c r="D19" s="248">
        <v>0</v>
      </c>
      <c r="E19" s="242" t="s">
        <v>102</v>
      </c>
      <c r="F19" s="242">
        <f t="shared" si="0"/>
        <v>49900</v>
      </c>
      <c r="G19" s="242" t="s">
        <v>102</v>
      </c>
      <c r="H19" s="242">
        <v>93592</v>
      </c>
      <c r="I19" s="242" t="s">
        <v>102</v>
      </c>
      <c r="J19" s="248">
        <f>0-Page_26!C16</f>
        <v>0</v>
      </c>
      <c r="K19" s="242" t="s">
        <v>102</v>
      </c>
      <c r="L19" s="242">
        <f t="shared" si="1"/>
        <v>93592</v>
      </c>
      <c r="M19" s="242" t="s">
        <v>102</v>
      </c>
      <c r="N19" s="242" t="s">
        <v>102</v>
      </c>
      <c r="O19" s="242">
        <v>9019</v>
      </c>
      <c r="P19" s="242" t="s">
        <v>102</v>
      </c>
      <c r="Q19" s="242">
        <f>6776-Page_26!D16</f>
        <v>6504.96</v>
      </c>
      <c r="R19" s="242" t="s">
        <v>102</v>
      </c>
      <c r="S19" s="242">
        <v>28085</v>
      </c>
      <c r="T19" s="70" t="s">
        <v>102</v>
      </c>
      <c r="U19" s="70" t="s">
        <v>102</v>
      </c>
      <c r="V19" s="20"/>
      <c r="W19" s="20"/>
      <c r="X19" s="20"/>
      <c r="Y19" s="20"/>
      <c r="Z19" s="20"/>
      <c r="AA19" s="20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CD19" s="21"/>
      <c r="CE19" s="21"/>
      <c r="CF19" s="21"/>
      <c r="CG19" s="21"/>
      <c r="CH19" s="21"/>
      <c r="CI19" s="21"/>
      <c r="CJ19" s="21"/>
      <c r="CK19" s="21"/>
      <c r="CL19" s="21"/>
      <c r="CM19" s="21"/>
      <c r="CN19" s="21"/>
      <c r="CO19" s="21"/>
      <c r="CP19" s="21"/>
      <c r="CQ19" s="21"/>
      <c r="CR19" s="21"/>
      <c r="CS19" s="21"/>
      <c r="CT19" s="21"/>
      <c r="CU19" s="21"/>
      <c r="CV19" s="21"/>
      <c r="CW19" s="21"/>
      <c r="CX19" s="21"/>
      <c r="CY19" s="21"/>
      <c r="CZ19" s="21"/>
      <c r="DA19" s="21"/>
      <c r="DB19" s="21"/>
      <c r="DC19" s="21"/>
      <c r="DD19" s="21"/>
      <c r="DE19" s="21"/>
      <c r="DF19" s="21"/>
      <c r="DG19" s="21"/>
      <c r="DH19" s="21"/>
      <c r="DI19" s="21"/>
      <c r="DJ19" s="21"/>
      <c r="DK19" s="21"/>
      <c r="DL19" s="21"/>
      <c r="DM19" s="21"/>
      <c r="DN19" s="21"/>
      <c r="DO19" s="21"/>
      <c r="DP19" s="21"/>
      <c r="DQ19" s="21"/>
      <c r="DR19" s="21"/>
      <c r="DS19" s="21"/>
      <c r="DT19" s="21"/>
      <c r="DU19" s="21"/>
      <c r="DV19" s="21"/>
      <c r="DW19" s="21"/>
      <c r="DX19" s="21"/>
      <c r="DY19" s="21"/>
      <c r="DZ19" s="21"/>
      <c r="EA19" s="21"/>
      <c r="EB19" s="21"/>
      <c r="EC19" s="21"/>
      <c r="ED19" s="21"/>
      <c r="EE19" s="21"/>
      <c r="EF19" s="21"/>
      <c r="EG19" s="21"/>
      <c r="EH19" s="21"/>
      <c r="EI19" s="21"/>
      <c r="EJ19" s="21"/>
      <c r="EK19" s="21"/>
      <c r="EL19" s="21"/>
      <c r="EM19" s="21"/>
      <c r="EN19" s="21"/>
      <c r="EO19" s="21"/>
      <c r="EP19" s="21"/>
      <c r="EQ19" s="21"/>
      <c r="ER19" s="21"/>
      <c r="ES19" s="21"/>
      <c r="ET19" s="21"/>
      <c r="EU19" s="21"/>
      <c r="EV19" s="21"/>
      <c r="EW19" s="21"/>
      <c r="EX19" s="21"/>
      <c r="EY19" s="21"/>
      <c r="EZ19" s="21"/>
      <c r="FA19" s="21"/>
      <c r="FB19" s="21"/>
      <c r="FC19" s="21"/>
      <c r="FD19" s="21"/>
      <c r="FE19" s="21"/>
      <c r="FF19" s="21"/>
      <c r="FG19" s="21"/>
      <c r="FH19" s="21"/>
      <c r="FI19" s="21"/>
      <c r="FJ19" s="21"/>
      <c r="FK19" s="21"/>
      <c r="FL19" s="21"/>
      <c r="FM19" s="21"/>
      <c r="FN19" s="21"/>
      <c r="FO19" s="21"/>
      <c r="FP19" s="21"/>
      <c r="FQ19" s="21"/>
      <c r="FR19" s="21"/>
      <c r="FS19" s="21"/>
      <c r="FT19" s="21"/>
      <c r="FU19" s="21"/>
      <c r="FV19" s="21"/>
      <c r="FW19" s="21"/>
      <c r="FX19" s="21"/>
      <c r="FY19" s="21"/>
      <c r="FZ19" s="21"/>
      <c r="GA19" s="21"/>
      <c r="GB19" s="21"/>
      <c r="GC19" s="21"/>
      <c r="GD19" s="21"/>
      <c r="GE19" s="21"/>
      <c r="GF19" s="21"/>
      <c r="GG19" s="21"/>
      <c r="GH19" s="21"/>
      <c r="GI19" s="21"/>
      <c r="GJ19" s="21"/>
      <c r="GK19" s="21"/>
      <c r="GL19" s="21"/>
      <c r="GM19" s="21"/>
      <c r="GN19" s="21"/>
      <c r="GO19" s="21"/>
      <c r="GP19" s="21"/>
      <c r="GQ19" s="21"/>
      <c r="GR19" s="21"/>
      <c r="GS19" s="21"/>
      <c r="GT19" s="21"/>
      <c r="GU19" s="21"/>
      <c r="GV19" s="21"/>
      <c r="GW19" s="21"/>
      <c r="GX19" s="21"/>
      <c r="GY19" s="21"/>
      <c r="GZ19" s="21"/>
      <c r="HA19" s="21"/>
      <c r="HB19" s="21"/>
      <c r="HC19" s="21"/>
      <c r="HD19" s="21"/>
      <c r="HE19" s="21"/>
      <c r="HF19" s="21"/>
      <c r="HG19" s="21"/>
      <c r="HH19" s="21"/>
      <c r="HI19" s="21"/>
      <c r="HJ19" s="21"/>
      <c r="HK19" s="21"/>
      <c r="HL19" s="21"/>
      <c r="HM19" s="21"/>
      <c r="HN19" s="21"/>
      <c r="HO19" s="21"/>
      <c r="HP19" s="21"/>
      <c r="HQ19" s="21"/>
      <c r="HR19" s="21"/>
      <c r="HS19" s="21"/>
      <c r="HT19" s="21"/>
      <c r="HU19" s="21"/>
      <c r="HV19" s="21"/>
      <c r="HW19" s="21"/>
      <c r="HX19" s="21"/>
      <c r="HY19" s="21"/>
    </row>
    <row r="20" spans="1:233" ht="18.5" x14ac:dyDescent="0.45">
      <c r="A20" s="269" t="s">
        <v>51</v>
      </c>
      <c r="B20" s="242">
        <v>32445</v>
      </c>
      <c r="C20" s="242" t="s">
        <v>102</v>
      </c>
      <c r="D20" s="248">
        <v>0</v>
      </c>
      <c r="E20" s="242" t="s">
        <v>102</v>
      </c>
      <c r="F20" s="242">
        <f t="shared" si="0"/>
        <v>32445</v>
      </c>
      <c r="G20" s="242" t="s">
        <v>102</v>
      </c>
      <c r="H20" s="242">
        <v>71559</v>
      </c>
      <c r="I20" s="242" t="s">
        <v>102</v>
      </c>
      <c r="J20" s="248">
        <f>0+-Page_26!C17</f>
        <v>0</v>
      </c>
      <c r="K20" s="242" t="s">
        <v>102</v>
      </c>
      <c r="L20" s="242">
        <f t="shared" si="1"/>
        <v>71559</v>
      </c>
      <c r="M20" s="242" t="s">
        <v>102</v>
      </c>
      <c r="N20" s="242" t="s">
        <v>102</v>
      </c>
      <c r="O20" s="242">
        <v>7368</v>
      </c>
      <c r="P20" s="242" t="s">
        <v>102</v>
      </c>
      <c r="Q20" s="242">
        <f>6193-Page_26!D17</f>
        <v>5945.28</v>
      </c>
      <c r="R20" s="242" t="s">
        <v>102</v>
      </c>
      <c r="S20" s="242">
        <v>19976</v>
      </c>
      <c r="T20" s="70" t="s">
        <v>102</v>
      </c>
      <c r="U20" s="70" t="s">
        <v>102</v>
      </c>
      <c r="V20" s="20"/>
      <c r="W20" s="20"/>
      <c r="X20" s="20"/>
      <c r="Y20" s="20"/>
      <c r="Z20" s="20"/>
      <c r="AA20" s="20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CD20" s="21"/>
      <c r="CE20" s="21"/>
      <c r="CF20" s="21"/>
      <c r="CG20" s="21"/>
      <c r="CH20" s="21"/>
      <c r="CI20" s="21"/>
      <c r="CJ20" s="21"/>
      <c r="CK20" s="21"/>
      <c r="CL20" s="21"/>
      <c r="CM20" s="21"/>
      <c r="CN20" s="21"/>
      <c r="CO20" s="21"/>
      <c r="CP20" s="21"/>
      <c r="CQ20" s="21"/>
      <c r="CR20" s="21"/>
      <c r="CS20" s="21"/>
      <c r="CT20" s="21"/>
      <c r="CU20" s="21"/>
      <c r="CV20" s="21"/>
      <c r="CW20" s="21"/>
      <c r="CX20" s="21"/>
      <c r="CY20" s="21"/>
      <c r="CZ20" s="21"/>
      <c r="DA20" s="21"/>
      <c r="DB20" s="21"/>
      <c r="DC20" s="21"/>
      <c r="DD20" s="21"/>
      <c r="DE20" s="21"/>
      <c r="DF20" s="21"/>
      <c r="DG20" s="21"/>
      <c r="DH20" s="21"/>
      <c r="DI20" s="21"/>
      <c r="DJ20" s="21"/>
      <c r="DK20" s="21"/>
      <c r="DL20" s="21"/>
      <c r="DM20" s="21"/>
      <c r="DN20" s="21"/>
      <c r="DO20" s="21"/>
      <c r="DP20" s="21"/>
      <c r="DQ20" s="21"/>
      <c r="DR20" s="21"/>
      <c r="DS20" s="21"/>
      <c r="DT20" s="21"/>
      <c r="DU20" s="21"/>
      <c r="DV20" s="21"/>
      <c r="DW20" s="21"/>
      <c r="DX20" s="21"/>
      <c r="DY20" s="21"/>
      <c r="DZ20" s="21"/>
      <c r="EA20" s="21"/>
      <c r="EB20" s="21"/>
      <c r="EC20" s="21"/>
      <c r="ED20" s="21"/>
      <c r="EE20" s="21"/>
      <c r="EF20" s="21"/>
      <c r="EG20" s="21"/>
      <c r="EH20" s="21"/>
      <c r="EI20" s="21"/>
      <c r="EJ20" s="21"/>
      <c r="EK20" s="21"/>
      <c r="EL20" s="21"/>
      <c r="EM20" s="21"/>
      <c r="EN20" s="21"/>
      <c r="EO20" s="21"/>
      <c r="EP20" s="21"/>
      <c r="EQ20" s="21"/>
      <c r="ER20" s="21"/>
      <c r="ES20" s="21"/>
      <c r="ET20" s="21"/>
      <c r="EU20" s="21"/>
      <c r="EV20" s="21"/>
      <c r="EW20" s="21"/>
      <c r="EX20" s="21"/>
      <c r="EY20" s="21"/>
      <c r="EZ20" s="21"/>
      <c r="FA20" s="21"/>
      <c r="FB20" s="21"/>
      <c r="FC20" s="21"/>
      <c r="FD20" s="21"/>
      <c r="FE20" s="21"/>
      <c r="FF20" s="21"/>
      <c r="FG20" s="21"/>
      <c r="FH20" s="21"/>
      <c r="FI20" s="21"/>
      <c r="FJ20" s="21"/>
      <c r="FK20" s="21"/>
      <c r="FL20" s="21"/>
      <c r="FM20" s="21"/>
      <c r="FN20" s="21"/>
      <c r="FO20" s="21"/>
      <c r="FP20" s="21"/>
      <c r="FQ20" s="21"/>
      <c r="FR20" s="21"/>
      <c r="FS20" s="21"/>
      <c r="FT20" s="21"/>
      <c r="FU20" s="21"/>
      <c r="FV20" s="21"/>
      <c r="FW20" s="21"/>
      <c r="FX20" s="21"/>
      <c r="FY20" s="21"/>
      <c r="FZ20" s="21"/>
      <c r="GA20" s="21"/>
      <c r="GB20" s="21"/>
      <c r="GC20" s="21"/>
      <c r="GD20" s="21"/>
      <c r="GE20" s="21"/>
      <c r="GF20" s="21"/>
      <c r="GG20" s="21"/>
      <c r="GH20" s="21"/>
      <c r="GI20" s="21"/>
      <c r="GJ20" s="21"/>
      <c r="GK20" s="21"/>
      <c r="GL20" s="21"/>
      <c r="GM20" s="21"/>
      <c r="GN20" s="21"/>
      <c r="GO20" s="21"/>
      <c r="GP20" s="21"/>
      <c r="GQ20" s="21"/>
      <c r="GR20" s="21"/>
      <c r="GS20" s="21"/>
      <c r="GT20" s="21"/>
      <c r="GU20" s="21"/>
      <c r="GV20" s="21"/>
      <c r="GW20" s="21"/>
      <c r="GX20" s="21"/>
      <c r="GY20" s="21"/>
      <c r="GZ20" s="21"/>
      <c r="HA20" s="21"/>
      <c r="HB20" s="21"/>
      <c r="HC20" s="21"/>
      <c r="HD20" s="21"/>
      <c r="HE20" s="21"/>
      <c r="HF20" s="21"/>
      <c r="HG20" s="21"/>
      <c r="HH20" s="21"/>
      <c r="HI20" s="21"/>
      <c r="HJ20" s="21"/>
      <c r="HK20" s="21"/>
      <c r="HL20" s="21"/>
      <c r="HM20" s="21"/>
      <c r="HN20" s="21"/>
      <c r="HO20" s="21"/>
      <c r="HP20" s="21"/>
      <c r="HQ20" s="21"/>
      <c r="HR20" s="21"/>
      <c r="HS20" s="21"/>
      <c r="HT20" s="21"/>
      <c r="HU20" s="21"/>
      <c r="HV20" s="21"/>
      <c r="HW20" s="21"/>
      <c r="HX20" s="21"/>
      <c r="HY20" s="21"/>
    </row>
    <row r="21" spans="1:233" ht="18.5" x14ac:dyDescent="0.45">
      <c r="A21" s="269" t="s">
        <v>52</v>
      </c>
      <c r="B21" s="242">
        <v>44297</v>
      </c>
      <c r="C21" s="242" t="s">
        <v>102</v>
      </c>
      <c r="D21" s="248">
        <v>0</v>
      </c>
      <c r="E21" s="242" t="s">
        <v>102</v>
      </c>
      <c r="F21" s="242">
        <f t="shared" si="0"/>
        <v>44297</v>
      </c>
      <c r="G21" s="242" t="s">
        <v>102</v>
      </c>
      <c r="H21" s="242">
        <v>83273</v>
      </c>
      <c r="I21" s="242" t="s">
        <v>102</v>
      </c>
      <c r="J21" s="248">
        <f>0-Page_26!C18</f>
        <v>0</v>
      </c>
      <c r="K21" s="242" t="s">
        <v>102</v>
      </c>
      <c r="L21" s="242">
        <f t="shared" si="1"/>
        <v>83273</v>
      </c>
      <c r="M21" s="242" t="s">
        <v>102</v>
      </c>
      <c r="N21" s="242" t="s">
        <v>102</v>
      </c>
      <c r="O21" s="242">
        <v>9208</v>
      </c>
      <c r="P21" s="242" t="s">
        <v>102</v>
      </c>
      <c r="Q21" s="242">
        <f>6312-Page_26!D18</f>
        <v>6059.52</v>
      </c>
      <c r="R21" s="242" t="s">
        <v>102</v>
      </c>
      <c r="S21" s="242">
        <v>28257</v>
      </c>
      <c r="T21" s="70" t="s">
        <v>102</v>
      </c>
      <c r="U21" s="70" t="s">
        <v>102</v>
      </c>
      <c r="V21" s="20"/>
      <c r="W21" s="20"/>
      <c r="X21" s="20"/>
      <c r="Y21" s="20"/>
      <c r="Z21" s="20"/>
      <c r="AA21" s="20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CD21" s="21"/>
      <c r="CE21" s="21"/>
      <c r="CF21" s="21"/>
      <c r="CG21" s="21"/>
      <c r="CH21" s="21"/>
      <c r="CI21" s="21"/>
      <c r="CJ21" s="21"/>
      <c r="CK21" s="21"/>
      <c r="CL21" s="21"/>
      <c r="CM21" s="21"/>
      <c r="CN21" s="21"/>
      <c r="CO21" s="21"/>
      <c r="CP21" s="21"/>
      <c r="CQ21" s="21"/>
      <c r="CR21" s="21"/>
      <c r="CS21" s="21"/>
      <c r="CT21" s="21"/>
      <c r="CU21" s="21"/>
      <c r="CV21" s="21"/>
      <c r="CW21" s="21"/>
      <c r="CX21" s="21"/>
      <c r="CY21" s="21"/>
      <c r="CZ21" s="21"/>
      <c r="DA21" s="21"/>
      <c r="DB21" s="21"/>
      <c r="DC21" s="21"/>
      <c r="DD21" s="21"/>
      <c r="DE21" s="21"/>
      <c r="DF21" s="21"/>
      <c r="DG21" s="21"/>
      <c r="DH21" s="21"/>
      <c r="DI21" s="21"/>
      <c r="DJ21" s="21"/>
      <c r="DK21" s="21"/>
      <c r="DL21" s="21"/>
      <c r="DM21" s="21"/>
      <c r="DN21" s="21"/>
      <c r="DO21" s="21"/>
      <c r="DP21" s="21"/>
      <c r="DQ21" s="21"/>
      <c r="DR21" s="21"/>
      <c r="DS21" s="21"/>
      <c r="DT21" s="21"/>
      <c r="DU21" s="21"/>
      <c r="DV21" s="21"/>
      <c r="DW21" s="21"/>
      <c r="DX21" s="21"/>
      <c r="DY21" s="21"/>
      <c r="DZ21" s="21"/>
      <c r="EA21" s="21"/>
      <c r="EB21" s="21"/>
      <c r="EC21" s="21"/>
      <c r="ED21" s="21"/>
      <c r="EE21" s="21"/>
      <c r="EF21" s="21"/>
      <c r="EG21" s="21"/>
      <c r="EH21" s="21"/>
      <c r="EI21" s="21"/>
      <c r="EJ21" s="21"/>
      <c r="EK21" s="21"/>
      <c r="EL21" s="21"/>
      <c r="EM21" s="21"/>
      <c r="EN21" s="21"/>
      <c r="EO21" s="21"/>
      <c r="EP21" s="21"/>
      <c r="EQ21" s="21"/>
      <c r="ER21" s="21"/>
      <c r="ES21" s="21"/>
      <c r="ET21" s="21"/>
      <c r="EU21" s="21"/>
      <c r="EV21" s="21"/>
      <c r="EW21" s="21"/>
      <c r="EX21" s="21"/>
      <c r="EY21" s="21"/>
      <c r="EZ21" s="21"/>
      <c r="FA21" s="21"/>
      <c r="FB21" s="21"/>
      <c r="FC21" s="21"/>
      <c r="FD21" s="21"/>
      <c r="FE21" s="21"/>
      <c r="FF21" s="21"/>
      <c r="FG21" s="21"/>
      <c r="FH21" s="21"/>
      <c r="FI21" s="21"/>
      <c r="FJ21" s="21"/>
      <c r="FK21" s="21"/>
      <c r="FL21" s="21"/>
      <c r="FM21" s="21"/>
      <c r="FN21" s="21"/>
      <c r="FO21" s="21"/>
      <c r="FP21" s="21"/>
      <c r="FQ21" s="21"/>
      <c r="FR21" s="21"/>
      <c r="FS21" s="21"/>
      <c r="FT21" s="21"/>
      <c r="FU21" s="21"/>
      <c r="FV21" s="21"/>
      <c r="FW21" s="21"/>
      <c r="FX21" s="21"/>
      <c r="FY21" s="21"/>
      <c r="FZ21" s="21"/>
      <c r="GA21" s="21"/>
      <c r="GB21" s="21"/>
      <c r="GC21" s="21"/>
      <c r="GD21" s="21"/>
      <c r="GE21" s="21"/>
      <c r="GF21" s="21"/>
      <c r="GG21" s="21"/>
      <c r="GH21" s="21"/>
      <c r="GI21" s="21"/>
      <c r="GJ21" s="21"/>
      <c r="GK21" s="21"/>
      <c r="GL21" s="21"/>
      <c r="GM21" s="21"/>
      <c r="GN21" s="21"/>
      <c r="GO21" s="21"/>
      <c r="GP21" s="21"/>
      <c r="GQ21" s="21"/>
      <c r="GR21" s="21"/>
      <c r="GS21" s="21"/>
      <c r="GT21" s="21"/>
      <c r="GU21" s="21"/>
      <c r="GV21" s="21"/>
      <c r="GW21" s="21"/>
      <c r="GX21" s="21"/>
      <c r="GY21" s="21"/>
      <c r="GZ21" s="21"/>
      <c r="HA21" s="21"/>
      <c r="HB21" s="21"/>
      <c r="HC21" s="21"/>
      <c r="HD21" s="21"/>
      <c r="HE21" s="21"/>
      <c r="HF21" s="21"/>
      <c r="HG21" s="21"/>
      <c r="HH21" s="21"/>
      <c r="HI21" s="21"/>
      <c r="HJ21" s="21"/>
      <c r="HK21" s="21"/>
      <c r="HL21" s="21"/>
      <c r="HM21" s="21"/>
      <c r="HN21" s="21"/>
      <c r="HO21" s="21"/>
      <c r="HP21" s="21"/>
      <c r="HQ21" s="21"/>
      <c r="HR21" s="21"/>
      <c r="HS21" s="21"/>
      <c r="HT21" s="21"/>
      <c r="HU21" s="21"/>
      <c r="HV21" s="21"/>
      <c r="HW21" s="21"/>
      <c r="HX21" s="21"/>
      <c r="HY21" s="21"/>
    </row>
    <row r="22" spans="1:233" ht="18.5" x14ac:dyDescent="0.45">
      <c r="A22" s="269" t="s">
        <v>53</v>
      </c>
      <c r="B22" s="242">
        <v>56534</v>
      </c>
      <c r="C22" s="242" t="s">
        <v>102</v>
      </c>
      <c r="D22" s="248">
        <v>0</v>
      </c>
      <c r="E22" s="242" t="s">
        <v>102</v>
      </c>
      <c r="F22" s="242">
        <f t="shared" si="0"/>
        <v>56534</v>
      </c>
      <c r="G22" s="242" t="s">
        <v>102</v>
      </c>
      <c r="H22" s="242">
        <v>112028</v>
      </c>
      <c r="I22" s="242" t="s">
        <v>102</v>
      </c>
      <c r="J22" s="248">
        <f>0-Page_26!C19</f>
        <v>0</v>
      </c>
      <c r="K22" s="242" t="s">
        <v>102</v>
      </c>
      <c r="L22" s="242">
        <f t="shared" si="1"/>
        <v>112028</v>
      </c>
      <c r="M22" s="242" t="s">
        <v>102</v>
      </c>
      <c r="N22" s="242" t="s">
        <v>102</v>
      </c>
      <c r="O22" s="242">
        <v>10266</v>
      </c>
      <c r="P22" s="242" t="s">
        <v>102</v>
      </c>
      <c r="Q22" s="242">
        <f>8287-Page_26!D19</f>
        <v>7955.52</v>
      </c>
      <c r="R22" s="242" t="s">
        <v>102</v>
      </c>
      <c r="S22" s="242">
        <v>29794</v>
      </c>
      <c r="T22" s="70" t="s">
        <v>102</v>
      </c>
      <c r="U22" s="70" t="s">
        <v>102</v>
      </c>
      <c r="V22" s="20"/>
      <c r="W22" s="20"/>
      <c r="X22" s="20"/>
      <c r="Y22" s="20"/>
      <c r="Z22" s="20"/>
      <c r="AA22" s="20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</row>
    <row r="23" spans="1:233" ht="18.5" x14ac:dyDescent="0.45">
      <c r="A23" s="269" t="s">
        <v>54</v>
      </c>
      <c r="B23" s="242">
        <v>56306</v>
      </c>
      <c r="C23" s="242" t="s">
        <v>102</v>
      </c>
      <c r="D23" s="242">
        <v>36090</v>
      </c>
      <c r="E23" s="242" t="s">
        <v>102</v>
      </c>
      <c r="F23" s="242">
        <f t="shared" si="0"/>
        <v>92396</v>
      </c>
      <c r="G23" s="242" t="s">
        <v>102</v>
      </c>
      <c r="H23" s="242">
        <v>89746</v>
      </c>
      <c r="I23" s="242" t="s">
        <v>102</v>
      </c>
      <c r="J23" s="242">
        <f>45000-Page_26!C20</f>
        <v>40500</v>
      </c>
      <c r="K23" s="242" t="s">
        <v>102</v>
      </c>
      <c r="L23" s="242">
        <f t="shared" si="1"/>
        <v>130246</v>
      </c>
      <c r="M23" s="242" t="s">
        <v>102</v>
      </c>
      <c r="N23" s="242" t="s">
        <v>102</v>
      </c>
      <c r="O23" s="242">
        <v>9463</v>
      </c>
      <c r="P23" s="242" t="s">
        <v>102</v>
      </c>
      <c r="Q23" s="242">
        <f>6968-Page_26!D20</f>
        <v>6689.28</v>
      </c>
      <c r="R23" s="242" t="s">
        <v>102</v>
      </c>
      <c r="S23" s="242">
        <v>26363</v>
      </c>
      <c r="T23" s="70" t="s">
        <v>102</v>
      </c>
      <c r="U23" s="70" t="s">
        <v>102</v>
      </c>
      <c r="V23" s="20"/>
      <c r="W23" s="20"/>
      <c r="X23" s="20"/>
      <c r="Y23" s="20"/>
      <c r="Z23" s="20"/>
      <c r="AA23" s="20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</row>
    <row r="24" spans="1:233" ht="18.5" x14ac:dyDescent="0.45">
      <c r="A24" s="269" t="s">
        <v>55</v>
      </c>
      <c r="B24" s="242">
        <v>43581</v>
      </c>
      <c r="C24" s="242" t="s">
        <v>102</v>
      </c>
      <c r="D24" s="248">
        <v>0</v>
      </c>
      <c r="E24" s="242" t="s">
        <v>102</v>
      </c>
      <c r="F24" s="242">
        <f t="shared" si="0"/>
        <v>43581</v>
      </c>
      <c r="G24" s="242" t="s">
        <v>102</v>
      </c>
      <c r="H24" s="242">
        <v>98675</v>
      </c>
      <c r="I24" s="242" t="s">
        <v>102</v>
      </c>
      <c r="J24" s="248">
        <f>0-Page_26!C21</f>
        <v>0</v>
      </c>
      <c r="K24" s="242" t="s">
        <v>102</v>
      </c>
      <c r="L24" s="242">
        <f t="shared" si="1"/>
        <v>98675</v>
      </c>
      <c r="M24" s="242" t="s">
        <v>102</v>
      </c>
      <c r="N24" s="242" t="s">
        <v>102</v>
      </c>
      <c r="O24" s="242">
        <v>6835</v>
      </c>
      <c r="P24" s="242" t="s">
        <v>102</v>
      </c>
      <c r="Q24" s="242">
        <f>7500-Page_26!D21</f>
        <v>7200</v>
      </c>
      <c r="R24" s="242" t="s">
        <v>102</v>
      </c>
      <c r="S24" s="242">
        <v>23832</v>
      </c>
      <c r="T24" s="70" t="s">
        <v>102</v>
      </c>
      <c r="U24" s="70" t="s">
        <v>102</v>
      </c>
      <c r="V24" s="20"/>
      <c r="W24" s="20"/>
      <c r="X24" s="20"/>
      <c r="Y24" s="20"/>
      <c r="Z24" s="20"/>
      <c r="AA24" s="20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CD24" s="21"/>
      <c r="CE24" s="21"/>
      <c r="CF24" s="21"/>
      <c r="CG24" s="21"/>
      <c r="CH24" s="21"/>
      <c r="CI24" s="21"/>
      <c r="CJ24" s="21"/>
      <c r="CK24" s="21"/>
      <c r="CL24" s="21"/>
      <c r="CM24" s="21"/>
      <c r="CN24" s="21"/>
      <c r="CO24" s="21"/>
      <c r="CP24" s="21"/>
      <c r="CQ24" s="21"/>
      <c r="CR24" s="21"/>
      <c r="CS24" s="21"/>
      <c r="CT24" s="21"/>
      <c r="CU24" s="21"/>
      <c r="CV24" s="21"/>
      <c r="CW24" s="21"/>
      <c r="CX24" s="21"/>
      <c r="CY24" s="21"/>
      <c r="CZ24" s="21"/>
      <c r="DA24" s="21"/>
      <c r="DB24" s="21"/>
      <c r="DC24" s="21"/>
      <c r="DD24" s="21"/>
      <c r="DE24" s="21"/>
      <c r="DF24" s="21"/>
      <c r="DG24" s="21"/>
      <c r="DH24" s="21"/>
      <c r="DI24" s="21"/>
      <c r="DJ24" s="21"/>
      <c r="DK24" s="21"/>
      <c r="DL24" s="21"/>
      <c r="DM24" s="21"/>
      <c r="DN24" s="21"/>
      <c r="DO24" s="21"/>
      <c r="DP24" s="21"/>
      <c r="DQ24" s="21"/>
      <c r="DR24" s="21"/>
      <c r="DS24" s="21"/>
      <c r="DT24" s="21"/>
      <c r="DU24" s="21"/>
      <c r="DV24" s="21"/>
      <c r="DW24" s="21"/>
      <c r="DX24" s="21"/>
      <c r="DY24" s="21"/>
      <c r="DZ24" s="21"/>
      <c r="EA24" s="21"/>
      <c r="EB24" s="21"/>
      <c r="EC24" s="21"/>
      <c r="ED24" s="21"/>
      <c r="EE24" s="21"/>
      <c r="EF24" s="21"/>
      <c r="EG24" s="21"/>
      <c r="EH24" s="21"/>
      <c r="EI24" s="21"/>
      <c r="EJ24" s="21"/>
      <c r="EK24" s="21"/>
      <c r="EL24" s="21"/>
      <c r="EM24" s="21"/>
      <c r="EN24" s="21"/>
      <c r="EO24" s="21"/>
      <c r="EP24" s="21"/>
      <c r="EQ24" s="21"/>
      <c r="ER24" s="21"/>
      <c r="ES24" s="21"/>
      <c r="ET24" s="21"/>
      <c r="EU24" s="21"/>
      <c r="EV24" s="21"/>
      <c r="EW24" s="21"/>
      <c r="EX24" s="21"/>
      <c r="EY24" s="21"/>
      <c r="EZ24" s="21"/>
      <c r="FA24" s="21"/>
      <c r="FB24" s="21"/>
      <c r="FC24" s="21"/>
      <c r="FD24" s="21"/>
      <c r="FE24" s="21"/>
      <c r="FF24" s="21"/>
      <c r="FG24" s="21"/>
      <c r="FH24" s="21"/>
      <c r="FI24" s="21"/>
      <c r="FJ24" s="21"/>
      <c r="FK24" s="21"/>
      <c r="FL24" s="21"/>
      <c r="FM24" s="21"/>
      <c r="FN24" s="21"/>
      <c r="FO24" s="21"/>
      <c r="FP24" s="21"/>
      <c r="FQ24" s="21"/>
      <c r="FR24" s="21"/>
      <c r="FS24" s="21"/>
      <c r="FT24" s="21"/>
      <c r="FU24" s="21"/>
      <c r="FV24" s="21"/>
      <c r="FW24" s="21"/>
      <c r="FX24" s="21"/>
      <c r="FY24" s="21"/>
      <c r="FZ24" s="21"/>
      <c r="GA24" s="21"/>
      <c r="GB24" s="21"/>
      <c r="GC24" s="21"/>
      <c r="GD24" s="21"/>
      <c r="GE24" s="21"/>
      <c r="GF24" s="21"/>
      <c r="GG24" s="21"/>
      <c r="GH24" s="21"/>
      <c r="GI24" s="21"/>
      <c r="GJ24" s="21"/>
      <c r="GK24" s="21"/>
      <c r="GL24" s="21"/>
      <c r="GM24" s="21"/>
      <c r="GN24" s="21"/>
      <c r="GO24" s="21"/>
      <c r="GP24" s="21"/>
      <c r="GQ24" s="21"/>
      <c r="GR24" s="21"/>
      <c r="GS24" s="21"/>
      <c r="GT24" s="21"/>
      <c r="GU24" s="21"/>
      <c r="GV24" s="21"/>
      <c r="GW24" s="21"/>
      <c r="GX24" s="21"/>
      <c r="GY24" s="21"/>
      <c r="GZ24" s="21"/>
      <c r="HA24" s="21"/>
      <c r="HB24" s="21"/>
      <c r="HC24" s="21"/>
      <c r="HD24" s="21"/>
      <c r="HE24" s="21"/>
      <c r="HF24" s="21"/>
      <c r="HG24" s="21"/>
      <c r="HH24" s="21"/>
      <c r="HI24" s="21"/>
      <c r="HJ24" s="21"/>
      <c r="HK24" s="21"/>
      <c r="HL24" s="21"/>
      <c r="HM24" s="21"/>
      <c r="HN24" s="21"/>
      <c r="HO24" s="21"/>
      <c r="HP24" s="21"/>
      <c r="HQ24" s="21"/>
      <c r="HR24" s="21"/>
      <c r="HS24" s="21"/>
      <c r="HT24" s="21"/>
      <c r="HU24" s="21"/>
      <c r="HV24" s="21"/>
      <c r="HW24" s="21"/>
      <c r="HX24" s="21"/>
      <c r="HY24" s="21"/>
    </row>
    <row r="25" spans="1:233" ht="18.5" x14ac:dyDescent="0.45">
      <c r="A25" s="269" t="s">
        <v>56</v>
      </c>
      <c r="B25" s="242">
        <v>26702</v>
      </c>
      <c r="C25" s="242" t="s">
        <v>102</v>
      </c>
      <c r="D25" s="242">
        <v>37254</v>
      </c>
      <c r="E25" s="242" t="s">
        <v>102</v>
      </c>
      <c r="F25" s="242">
        <f t="shared" si="0"/>
        <v>63956</v>
      </c>
      <c r="G25" s="242" t="s">
        <v>102</v>
      </c>
      <c r="H25" s="242">
        <v>44312</v>
      </c>
      <c r="I25" s="242" t="s">
        <v>102</v>
      </c>
      <c r="J25" s="242">
        <f>50000-Page_26!C22</f>
        <v>45000</v>
      </c>
      <c r="K25" s="242" t="s">
        <v>102</v>
      </c>
      <c r="L25" s="242">
        <f t="shared" si="1"/>
        <v>89312</v>
      </c>
      <c r="M25" s="242" t="s">
        <v>102</v>
      </c>
      <c r="N25" s="242" t="s">
        <v>102</v>
      </c>
      <c r="O25" s="242">
        <v>8763</v>
      </c>
      <c r="P25" s="242" t="s">
        <v>102</v>
      </c>
      <c r="Q25" s="242">
        <f>6562-Page_26!D22</f>
        <v>6299.52</v>
      </c>
      <c r="R25" s="242" t="s">
        <v>102</v>
      </c>
      <c r="S25" s="242">
        <v>28641</v>
      </c>
      <c r="T25" s="70" t="s">
        <v>102</v>
      </c>
      <c r="U25" s="70" t="s">
        <v>102</v>
      </c>
      <c r="V25" s="20"/>
      <c r="W25" s="20"/>
      <c r="X25" s="20"/>
      <c r="Y25" s="20"/>
      <c r="Z25" s="20"/>
      <c r="AA25" s="20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CD25" s="21"/>
      <c r="CE25" s="21"/>
      <c r="CF25" s="21"/>
      <c r="CG25" s="21"/>
      <c r="CH25" s="21"/>
      <c r="CI25" s="21"/>
      <c r="CJ25" s="21"/>
      <c r="CK25" s="21"/>
      <c r="CL25" s="21"/>
      <c r="CM25" s="21"/>
      <c r="CN25" s="21"/>
      <c r="CO25" s="21"/>
      <c r="CP25" s="21"/>
      <c r="CQ25" s="21"/>
      <c r="CR25" s="21"/>
      <c r="CS25" s="21"/>
      <c r="CT25" s="21"/>
      <c r="CU25" s="21"/>
      <c r="CV25" s="21"/>
      <c r="CW25" s="21"/>
      <c r="CX25" s="21"/>
      <c r="CY25" s="21"/>
      <c r="CZ25" s="21"/>
      <c r="DA25" s="21"/>
      <c r="DB25" s="21"/>
      <c r="DC25" s="21"/>
      <c r="DD25" s="21"/>
      <c r="DE25" s="21"/>
      <c r="DF25" s="21"/>
      <c r="DG25" s="21"/>
      <c r="DH25" s="21"/>
      <c r="DI25" s="21"/>
      <c r="DJ25" s="21"/>
      <c r="DK25" s="21"/>
      <c r="DL25" s="21"/>
      <c r="DM25" s="21"/>
      <c r="DN25" s="21"/>
      <c r="DO25" s="21"/>
      <c r="DP25" s="21"/>
      <c r="DQ25" s="21"/>
      <c r="DR25" s="21"/>
      <c r="DS25" s="21"/>
      <c r="DT25" s="21"/>
      <c r="DU25" s="21"/>
      <c r="DV25" s="21"/>
      <c r="DW25" s="21"/>
      <c r="DX25" s="21"/>
      <c r="DY25" s="21"/>
      <c r="DZ25" s="21"/>
      <c r="EA25" s="21"/>
      <c r="EB25" s="21"/>
      <c r="EC25" s="21"/>
      <c r="ED25" s="21"/>
      <c r="EE25" s="21"/>
      <c r="EF25" s="21"/>
      <c r="EG25" s="21"/>
      <c r="EH25" s="21"/>
      <c r="EI25" s="21"/>
      <c r="EJ25" s="21"/>
      <c r="EK25" s="21"/>
      <c r="EL25" s="21"/>
      <c r="EM25" s="21"/>
      <c r="EN25" s="21"/>
      <c r="EO25" s="21"/>
      <c r="EP25" s="21"/>
      <c r="EQ25" s="21"/>
      <c r="ER25" s="21"/>
      <c r="ES25" s="21"/>
      <c r="ET25" s="21"/>
      <c r="EU25" s="21"/>
      <c r="EV25" s="21"/>
      <c r="EW25" s="21"/>
      <c r="EX25" s="21"/>
      <c r="EY25" s="21"/>
      <c r="EZ25" s="21"/>
      <c r="FA25" s="21"/>
      <c r="FB25" s="21"/>
      <c r="FC25" s="21"/>
      <c r="FD25" s="21"/>
      <c r="FE25" s="21"/>
      <c r="FF25" s="21"/>
      <c r="FG25" s="21"/>
      <c r="FH25" s="21"/>
      <c r="FI25" s="21"/>
      <c r="FJ25" s="21"/>
      <c r="FK25" s="21"/>
      <c r="FL25" s="21"/>
      <c r="FM25" s="21"/>
      <c r="FN25" s="21"/>
      <c r="FO25" s="21"/>
      <c r="FP25" s="21"/>
      <c r="FQ25" s="21"/>
      <c r="FR25" s="21"/>
      <c r="FS25" s="21"/>
      <c r="FT25" s="21"/>
      <c r="FU25" s="21"/>
      <c r="FV25" s="21"/>
      <c r="FW25" s="21"/>
      <c r="FX25" s="21"/>
      <c r="FY25" s="21"/>
      <c r="FZ25" s="21"/>
      <c r="GA25" s="21"/>
      <c r="GB25" s="21"/>
      <c r="GC25" s="21"/>
      <c r="GD25" s="21"/>
      <c r="GE25" s="21"/>
      <c r="GF25" s="21"/>
      <c r="GG25" s="21"/>
      <c r="GH25" s="21"/>
      <c r="GI25" s="21"/>
      <c r="GJ25" s="21"/>
      <c r="GK25" s="21"/>
      <c r="GL25" s="21"/>
      <c r="GM25" s="21"/>
      <c r="GN25" s="21"/>
      <c r="GO25" s="21"/>
      <c r="GP25" s="21"/>
      <c r="GQ25" s="21"/>
      <c r="GR25" s="21"/>
      <c r="GS25" s="21"/>
      <c r="GT25" s="21"/>
      <c r="GU25" s="21"/>
      <c r="GV25" s="21"/>
      <c r="GW25" s="21"/>
      <c r="GX25" s="21"/>
      <c r="GY25" s="21"/>
      <c r="GZ25" s="21"/>
      <c r="HA25" s="21"/>
      <c r="HB25" s="21"/>
      <c r="HC25" s="21"/>
      <c r="HD25" s="21"/>
      <c r="HE25" s="21"/>
      <c r="HF25" s="21"/>
      <c r="HG25" s="21"/>
      <c r="HH25" s="21"/>
      <c r="HI25" s="21"/>
      <c r="HJ25" s="21"/>
      <c r="HK25" s="21"/>
      <c r="HL25" s="21"/>
      <c r="HM25" s="21"/>
      <c r="HN25" s="21"/>
      <c r="HO25" s="21"/>
      <c r="HP25" s="21"/>
      <c r="HQ25" s="21"/>
      <c r="HR25" s="21"/>
      <c r="HS25" s="21"/>
      <c r="HT25" s="21"/>
      <c r="HU25" s="21"/>
      <c r="HV25" s="21"/>
      <c r="HW25" s="21"/>
      <c r="HX25" s="21"/>
      <c r="HY25" s="21"/>
    </row>
    <row r="26" spans="1:233" ht="18.5" x14ac:dyDescent="0.45">
      <c r="A26" s="269" t="s">
        <v>57</v>
      </c>
      <c r="B26" s="242">
        <v>48755</v>
      </c>
      <c r="C26" s="242" t="s">
        <v>102</v>
      </c>
      <c r="D26" s="242">
        <v>29000</v>
      </c>
      <c r="E26" s="242" t="s">
        <v>102</v>
      </c>
      <c r="F26" s="242">
        <f t="shared" si="0"/>
        <v>77755</v>
      </c>
      <c r="G26" s="242" t="s">
        <v>102</v>
      </c>
      <c r="H26" s="242">
        <v>123086</v>
      </c>
      <c r="I26" s="242" t="s">
        <v>102</v>
      </c>
      <c r="J26" s="242">
        <f>29000-Page_26!C23</f>
        <v>26100</v>
      </c>
      <c r="K26" s="242" t="s">
        <v>102</v>
      </c>
      <c r="L26" s="242">
        <f t="shared" si="1"/>
        <v>149186</v>
      </c>
      <c r="M26" s="242" t="s">
        <v>102</v>
      </c>
      <c r="N26" s="242" t="s">
        <v>102</v>
      </c>
      <c r="O26" s="242">
        <v>8300</v>
      </c>
      <c r="P26" s="242" t="s">
        <v>102</v>
      </c>
      <c r="Q26" s="242">
        <f>7866-Page_26!D23</f>
        <v>7551.36</v>
      </c>
      <c r="R26" s="242" t="s">
        <v>102</v>
      </c>
      <c r="S26" s="242">
        <v>28649</v>
      </c>
      <c r="T26" s="70" t="s">
        <v>102</v>
      </c>
      <c r="U26" s="70" t="s">
        <v>102</v>
      </c>
      <c r="V26" s="20"/>
      <c r="W26" s="20"/>
      <c r="X26" s="20"/>
      <c r="Y26" s="20"/>
      <c r="Z26" s="20"/>
      <c r="AA26" s="20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CD26" s="21"/>
      <c r="CE26" s="21"/>
      <c r="CF26" s="21"/>
      <c r="CG26" s="21"/>
      <c r="CH26" s="21"/>
      <c r="CI26" s="21"/>
      <c r="CJ26" s="21"/>
      <c r="CK26" s="21"/>
      <c r="CL26" s="21"/>
      <c r="CM26" s="21"/>
      <c r="CN26" s="21"/>
      <c r="CO26" s="21"/>
      <c r="CP26" s="21"/>
      <c r="CQ26" s="21"/>
      <c r="CR26" s="21"/>
      <c r="CS26" s="21"/>
      <c r="CT26" s="21"/>
      <c r="CU26" s="21"/>
      <c r="CV26" s="21"/>
      <c r="CW26" s="21"/>
      <c r="CX26" s="21"/>
      <c r="CY26" s="21"/>
      <c r="CZ26" s="21"/>
      <c r="DA26" s="21"/>
      <c r="DB26" s="21"/>
      <c r="DC26" s="21"/>
      <c r="DD26" s="21"/>
      <c r="DE26" s="21"/>
      <c r="DF26" s="21"/>
      <c r="DG26" s="21"/>
      <c r="DH26" s="21"/>
      <c r="DI26" s="21"/>
      <c r="DJ26" s="21"/>
      <c r="DK26" s="21"/>
      <c r="DL26" s="21"/>
      <c r="DM26" s="21"/>
      <c r="DN26" s="21"/>
      <c r="DO26" s="21"/>
      <c r="DP26" s="21"/>
      <c r="DQ26" s="21"/>
      <c r="DR26" s="21"/>
      <c r="DS26" s="21"/>
      <c r="DT26" s="21"/>
      <c r="DU26" s="21"/>
      <c r="DV26" s="21"/>
      <c r="DW26" s="21"/>
      <c r="DX26" s="21"/>
      <c r="DY26" s="21"/>
      <c r="DZ26" s="21"/>
      <c r="EA26" s="21"/>
      <c r="EB26" s="21"/>
      <c r="EC26" s="21"/>
      <c r="ED26" s="21"/>
      <c r="EE26" s="21"/>
      <c r="EF26" s="21"/>
      <c r="EG26" s="21"/>
      <c r="EH26" s="21"/>
      <c r="EI26" s="21"/>
      <c r="EJ26" s="21"/>
      <c r="EK26" s="21"/>
      <c r="EL26" s="21"/>
      <c r="EM26" s="21"/>
      <c r="EN26" s="21"/>
      <c r="EO26" s="21"/>
      <c r="EP26" s="21"/>
      <c r="EQ26" s="21"/>
      <c r="ER26" s="21"/>
      <c r="ES26" s="21"/>
      <c r="ET26" s="21"/>
      <c r="EU26" s="21"/>
      <c r="EV26" s="21"/>
      <c r="EW26" s="21"/>
      <c r="EX26" s="21"/>
      <c r="EY26" s="21"/>
      <c r="EZ26" s="21"/>
      <c r="FA26" s="21"/>
      <c r="FB26" s="21"/>
      <c r="FC26" s="21"/>
      <c r="FD26" s="21"/>
      <c r="FE26" s="21"/>
      <c r="FF26" s="21"/>
      <c r="FG26" s="21"/>
      <c r="FH26" s="21"/>
      <c r="FI26" s="21"/>
      <c r="FJ26" s="21"/>
      <c r="FK26" s="21"/>
      <c r="FL26" s="21"/>
      <c r="FM26" s="21"/>
      <c r="FN26" s="21"/>
      <c r="FO26" s="21"/>
      <c r="FP26" s="21"/>
      <c r="FQ26" s="21"/>
      <c r="FR26" s="21"/>
      <c r="FS26" s="21"/>
      <c r="FT26" s="21"/>
      <c r="FU26" s="21"/>
      <c r="FV26" s="21"/>
      <c r="FW26" s="21"/>
      <c r="FX26" s="21"/>
      <c r="FY26" s="21"/>
      <c r="FZ26" s="21"/>
      <c r="GA26" s="21"/>
      <c r="GB26" s="21"/>
      <c r="GC26" s="21"/>
      <c r="GD26" s="21"/>
      <c r="GE26" s="21"/>
      <c r="GF26" s="21"/>
      <c r="GG26" s="21"/>
      <c r="GH26" s="21"/>
      <c r="GI26" s="21"/>
      <c r="GJ26" s="21"/>
      <c r="GK26" s="21"/>
      <c r="GL26" s="21"/>
      <c r="GM26" s="21"/>
      <c r="GN26" s="21"/>
      <c r="GO26" s="21"/>
      <c r="GP26" s="21"/>
      <c r="GQ26" s="21"/>
      <c r="GR26" s="21"/>
      <c r="GS26" s="21"/>
      <c r="GT26" s="21"/>
      <c r="GU26" s="21"/>
      <c r="GV26" s="21"/>
      <c r="GW26" s="21"/>
      <c r="GX26" s="21"/>
      <c r="GY26" s="21"/>
      <c r="GZ26" s="21"/>
      <c r="HA26" s="21"/>
      <c r="HB26" s="21"/>
      <c r="HC26" s="21"/>
      <c r="HD26" s="21"/>
      <c r="HE26" s="21"/>
      <c r="HF26" s="21"/>
      <c r="HG26" s="21"/>
      <c r="HH26" s="21"/>
      <c r="HI26" s="21"/>
      <c r="HJ26" s="21"/>
      <c r="HK26" s="21"/>
      <c r="HL26" s="21"/>
      <c r="HM26" s="21"/>
      <c r="HN26" s="21"/>
      <c r="HO26" s="21"/>
      <c r="HP26" s="21"/>
      <c r="HQ26" s="21"/>
      <c r="HR26" s="21"/>
      <c r="HS26" s="21"/>
      <c r="HT26" s="21"/>
      <c r="HU26" s="21"/>
      <c r="HV26" s="21"/>
      <c r="HW26" s="21"/>
      <c r="HX26" s="21"/>
      <c r="HY26" s="21"/>
    </row>
    <row r="27" spans="1:233" ht="18.5" x14ac:dyDescent="0.45">
      <c r="A27" s="269" t="s">
        <v>58</v>
      </c>
      <c r="B27" s="242">
        <v>37935</v>
      </c>
      <c r="C27" s="242" t="s">
        <v>102</v>
      </c>
      <c r="D27" s="242">
        <v>30896</v>
      </c>
      <c r="E27" s="242" t="s">
        <v>102</v>
      </c>
      <c r="F27" s="242">
        <f t="shared" si="0"/>
        <v>68831</v>
      </c>
      <c r="G27" s="242" t="s">
        <v>102</v>
      </c>
      <c r="H27" s="242">
        <v>95959</v>
      </c>
      <c r="I27" s="242" t="s">
        <v>102</v>
      </c>
      <c r="J27" s="242">
        <f>30000-Page_26!C24</f>
        <v>27000</v>
      </c>
      <c r="K27" s="242" t="s">
        <v>102</v>
      </c>
      <c r="L27" s="242">
        <f t="shared" si="1"/>
        <v>122959</v>
      </c>
      <c r="M27" s="242" t="s">
        <v>102</v>
      </c>
      <c r="N27" s="242" t="s">
        <v>102</v>
      </c>
      <c r="O27" s="242">
        <v>10099</v>
      </c>
      <c r="P27" s="242" t="s">
        <v>102</v>
      </c>
      <c r="Q27" s="242">
        <f>7290-Page_26!D24</f>
        <v>6998.4</v>
      </c>
      <c r="R27" s="242" t="s">
        <v>102</v>
      </c>
      <c r="S27" s="242">
        <v>27252</v>
      </c>
      <c r="T27" s="70" t="s">
        <v>102</v>
      </c>
      <c r="U27" s="70" t="s">
        <v>102</v>
      </c>
      <c r="V27" s="20"/>
      <c r="W27" s="20"/>
      <c r="X27" s="20"/>
      <c r="Y27" s="20"/>
      <c r="Z27" s="20"/>
      <c r="AA27" s="20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CD27" s="21"/>
      <c r="CE27" s="21"/>
      <c r="CF27" s="21"/>
      <c r="CG27" s="21"/>
      <c r="CH27" s="21"/>
      <c r="CI27" s="21"/>
      <c r="CJ27" s="21"/>
      <c r="CK27" s="21"/>
      <c r="CL27" s="21"/>
      <c r="CM27" s="21"/>
      <c r="CN27" s="21"/>
      <c r="CO27" s="21"/>
      <c r="CP27" s="21"/>
      <c r="CQ27" s="21"/>
      <c r="CR27" s="21"/>
      <c r="CS27" s="21"/>
      <c r="CT27" s="21"/>
      <c r="CU27" s="21"/>
      <c r="CV27" s="21"/>
      <c r="CW27" s="21"/>
      <c r="CX27" s="21"/>
      <c r="CY27" s="21"/>
      <c r="CZ27" s="21"/>
      <c r="DA27" s="21"/>
      <c r="DB27" s="21"/>
      <c r="DC27" s="21"/>
      <c r="DD27" s="21"/>
      <c r="DE27" s="21"/>
      <c r="DF27" s="21"/>
      <c r="DG27" s="21"/>
      <c r="DH27" s="21"/>
      <c r="DI27" s="21"/>
      <c r="DJ27" s="21"/>
      <c r="DK27" s="21"/>
      <c r="DL27" s="21"/>
      <c r="DM27" s="21"/>
      <c r="DN27" s="21"/>
      <c r="DO27" s="21"/>
      <c r="DP27" s="21"/>
      <c r="DQ27" s="21"/>
      <c r="DR27" s="21"/>
      <c r="DS27" s="21"/>
      <c r="DT27" s="21"/>
      <c r="DU27" s="21"/>
      <c r="DV27" s="21"/>
      <c r="DW27" s="21"/>
      <c r="DX27" s="21"/>
      <c r="DY27" s="21"/>
      <c r="DZ27" s="21"/>
      <c r="EA27" s="21"/>
      <c r="EB27" s="21"/>
      <c r="EC27" s="21"/>
      <c r="ED27" s="21"/>
      <c r="EE27" s="21"/>
      <c r="EF27" s="21"/>
      <c r="EG27" s="21"/>
      <c r="EH27" s="21"/>
      <c r="EI27" s="21"/>
      <c r="EJ27" s="21"/>
      <c r="EK27" s="21"/>
      <c r="EL27" s="21"/>
      <c r="EM27" s="21"/>
      <c r="EN27" s="21"/>
      <c r="EO27" s="21"/>
      <c r="EP27" s="21"/>
      <c r="EQ27" s="21"/>
      <c r="ER27" s="21"/>
      <c r="ES27" s="21"/>
      <c r="ET27" s="21"/>
      <c r="EU27" s="21"/>
      <c r="EV27" s="21"/>
      <c r="EW27" s="21"/>
      <c r="EX27" s="21"/>
      <c r="EY27" s="21"/>
      <c r="EZ27" s="21"/>
      <c r="FA27" s="21"/>
      <c r="FB27" s="21"/>
      <c r="FC27" s="21"/>
      <c r="FD27" s="21"/>
      <c r="FE27" s="21"/>
      <c r="FF27" s="21"/>
      <c r="FG27" s="21"/>
      <c r="FH27" s="21"/>
      <c r="FI27" s="21"/>
      <c r="FJ27" s="21"/>
      <c r="FK27" s="21"/>
      <c r="FL27" s="21"/>
      <c r="FM27" s="21"/>
      <c r="FN27" s="21"/>
      <c r="FO27" s="21"/>
      <c r="FP27" s="21"/>
      <c r="FQ27" s="21"/>
      <c r="FR27" s="21"/>
      <c r="FS27" s="21"/>
      <c r="FT27" s="21"/>
      <c r="FU27" s="21"/>
      <c r="FV27" s="21"/>
      <c r="FW27" s="21"/>
      <c r="FX27" s="21"/>
      <c r="FY27" s="21"/>
      <c r="FZ27" s="21"/>
      <c r="GA27" s="21"/>
      <c r="GB27" s="21"/>
      <c r="GC27" s="21"/>
      <c r="GD27" s="21"/>
      <c r="GE27" s="21"/>
      <c r="GF27" s="21"/>
      <c r="GG27" s="21"/>
      <c r="GH27" s="21"/>
      <c r="GI27" s="21"/>
      <c r="GJ27" s="21"/>
      <c r="GK27" s="21"/>
      <c r="GL27" s="21"/>
      <c r="GM27" s="21"/>
      <c r="GN27" s="21"/>
      <c r="GO27" s="21"/>
      <c r="GP27" s="21"/>
      <c r="GQ27" s="21"/>
      <c r="GR27" s="21"/>
      <c r="GS27" s="21"/>
      <c r="GT27" s="21"/>
      <c r="GU27" s="21"/>
      <c r="GV27" s="21"/>
      <c r="GW27" s="21"/>
      <c r="GX27" s="21"/>
      <c r="GY27" s="21"/>
      <c r="GZ27" s="21"/>
      <c r="HA27" s="21"/>
      <c r="HB27" s="21"/>
      <c r="HC27" s="21"/>
      <c r="HD27" s="21"/>
      <c r="HE27" s="21"/>
      <c r="HF27" s="21"/>
      <c r="HG27" s="21"/>
      <c r="HH27" s="21"/>
      <c r="HI27" s="21"/>
      <c r="HJ27" s="21"/>
      <c r="HK27" s="21"/>
      <c r="HL27" s="21"/>
      <c r="HM27" s="21"/>
      <c r="HN27" s="21"/>
      <c r="HO27" s="21"/>
      <c r="HP27" s="21"/>
      <c r="HQ27" s="21"/>
      <c r="HR27" s="21"/>
      <c r="HS27" s="21"/>
      <c r="HT27" s="21"/>
      <c r="HU27" s="21"/>
      <c r="HV27" s="21"/>
      <c r="HW27" s="21"/>
      <c r="HX27" s="21"/>
      <c r="HY27" s="21"/>
    </row>
    <row r="28" spans="1:233" ht="18.5" x14ac:dyDescent="0.45">
      <c r="A28" s="269" t="s">
        <v>59</v>
      </c>
      <c r="B28" s="242">
        <v>18502</v>
      </c>
      <c r="C28" s="242" t="s">
        <v>102</v>
      </c>
      <c r="D28" s="242">
        <v>3966</v>
      </c>
      <c r="E28" s="242" t="s">
        <v>102</v>
      </c>
      <c r="F28" s="242">
        <f t="shared" si="0"/>
        <v>22468</v>
      </c>
      <c r="G28" s="242" t="s">
        <v>102</v>
      </c>
      <c r="H28" s="242">
        <v>56362</v>
      </c>
      <c r="I28" s="242" t="s">
        <v>102</v>
      </c>
      <c r="J28" s="242">
        <f>13784-Page_26!C25</f>
        <v>12405.6</v>
      </c>
      <c r="K28" s="242" t="s">
        <v>102</v>
      </c>
      <c r="L28" s="242">
        <f t="shared" si="1"/>
        <v>68767.600000000006</v>
      </c>
      <c r="M28" s="242" t="s">
        <v>102</v>
      </c>
      <c r="N28" s="242" t="s">
        <v>102</v>
      </c>
      <c r="O28" s="242">
        <v>3897</v>
      </c>
      <c r="P28" s="242" t="s">
        <v>102</v>
      </c>
      <c r="Q28" s="242">
        <f>4906-Page_26!D25</f>
        <v>4709.76</v>
      </c>
      <c r="R28" s="242" t="s">
        <v>102</v>
      </c>
      <c r="S28" s="242">
        <v>20845</v>
      </c>
      <c r="T28" s="70" t="s">
        <v>102</v>
      </c>
      <c r="U28" s="70" t="s">
        <v>102</v>
      </c>
      <c r="V28" s="20"/>
      <c r="W28" s="20"/>
      <c r="X28" s="20"/>
      <c r="Y28" s="20"/>
      <c r="Z28" s="20"/>
      <c r="AA28" s="20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CD28" s="21"/>
      <c r="CE28" s="21"/>
      <c r="CF28" s="21"/>
      <c r="CG28" s="21"/>
      <c r="CH28" s="21"/>
      <c r="CI28" s="21"/>
      <c r="CJ28" s="21"/>
      <c r="CK28" s="21"/>
      <c r="CL28" s="21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CZ28" s="21"/>
      <c r="DA28" s="21"/>
      <c r="DB28" s="21"/>
      <c r="DC28" s="21"/>
      <c r="DD28" s="21"/>
      <c r="DE28" s="21"/>
      <c r="DF28" s="21"/>
      <c r="DG28" s="21"/>
      <c r="DH28" s="21"/>
      <c r="DI28" s="21"/>
      <c r="DJ28" s="21"/>
      <c r="DK28" s="21"/>
      <c r="DL28" s="21"/>
      <c r="DM28" s="21"/>
      <c r="DN28" s="21"/>
      <c r="DO28" s="21"/>
      <c r="DP28" s="21"/>
      <c r="DQ28" s="21"/>
      <c r="DR28" s="21"/>
      <c r="DS28" s="21"/>
      <c r="DT28" s="21"/>
      <c r="DU28" s="21"/>
      <c r="DV28" s="21"/>
      <c r="DW28" s="21"/>
      <c r="DX28" s="21"/>
      <c r="DY28" s="21"/>
      <c r="DZ28" s="21"/>
      <c r="EA28" s="21"/>
      <c r="EB28" s="21"/>
      <c r="EC28" s="21"/>
      <c r="ED28" s="21"/>
      <c r="EE28" s="21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21"/>
      <c r="ER28" s="21"/>
      <c r="ES28" s="21"/>
      <c r="ET28" s="21"/>
      <c r="EU28" s="21"/>
      <c r="EV28" s="21"/>
      <c r="EW28" s="21"/>
      <c r="EX28" s="21"/>
      <c r="EY28" s="21"/>
      <c r="EZ28" s="21"/>
      <c r="FA28" s="21"/>
      <c r="FB28" s="21"/>
      <c r="FC28" s="21"/>
      <c r="FD28" s="21"/>
      <c r="FE28" s="21"/>
      <c r="FF28" s="21"/>
      <c r="FG28" s="21"/>
      <c r="FH28" s="21"/>
      <c r="FI28" s="21"/>
      <c r="FJ28" s="21"/>
      <c r="FK28" s="21"/>
      <c r="FL28" s="21"/>
      <c r="FM28" s="21"/>
      <c r="FN28" s="21"/>
      <c r="FO28" s="21"/>
      <c r="FP28" s="21"/>
      <c r="FQ28" s="21"/>
      <c r="FR28" s="21"/>
      <c r="FS28" s="21"/>
      <c r="FT28" s="21"/>
      <c r="FU28" s="21"/>
      <c r="FV28" s="21"/>
      <c r="FW28" s="21"/>
      <c r="FX28" s="21"/>
      <c r="FY28" s="21"/>
      <c r="FZ28" s="21"/>
      <c r="GA28" s="21"/>
      <c r="GB28" s="21"/>
      <c r="GC28" s="21"/>
      <c r="GD28" s="21"/>
      <c r="GE28" s="21"/>
      <c r="GF28" s="21"/>
      <c r="GG28" s="21"/>
      <c r="GH28" s="21"/>
      <c r="GI28" s="21"/>
      <c r="GJ28" s="21"/>
      <c r="GK28" s="21"/>
      <c r="GL28" s="21"/>
      <c r="GM28" s="21"/>
      <c r="GN28" s="21"/>
      <c r="GO28" s="21"/>
      <c r="GP28" s="21"/>
      <c r="GQ28" s="21"/>
      <c r="GR28" s="21"/>
      <c r="GS28" s="21"/>
      <c r="GT28" s="21"/>
      <c r="GU28" s="21"/>
      <c r="GV28" s="21"/>
      <c r="GW28" s="21"/>
      <c r="GX28" s="21"/>
      <c r="GY28" s="21"/>
      <c r="GZ28" s="21"/>
      <c r="HA28" s="21"/>
      <c r="HB28" s="21"/>
      <c r="HC28" s="21"/>
      <c r="HD28" s="21"/>
      <c r="HE28" s="21"/>
      <c r="HF28" s="21"/>
      <c r="HG28" s="21"/>
      <c r="HH28" s="21"/>
      <c r="HI28" s="21"/>
      <c r="HJ28" s="21"/>
      <c r="HK28" s="21"/>
      <c r="HL28" s="21"/>
      <c r="HM28" s="21"/>
      <c r="HN28" s="21"/>
      <c r="HO28" s="21"/>
      <c r="HP28" s="21"/>
      <c r="HQ28" s="21"/>
      <c r="HR28" s="21"/>
      <c r="HS28" s="21"/>
      <c r="HT28" s="21"/>
      <c r="HU28" s="21"/>
      <c r="HV28" s="21"/>
      <c r="HW28" s="21"/>
      <c r="HX28" s="21"/>
      <c r="HY28" s="21"/>
    </row>
    <row r="29" spans="1:233" ht="18.5" x14ac:dyDescent="0.45">
      <c r="A29" s="269" t="s">
        <v>111</v>
      </c>
      <c r="B29" s="242">
        <v>64577</v>
      </c>
      <c r="C29" s="242"/>
      <c r="D29" s="242">
        <v>7834</v>
      </c>
      <c r="E29" s="242"/>
      <c r="F29" s="242">
        <f t="shared" si="0"/>
        <v>72411</v>
      </c>
      <c r="G29" s="242"/>
      <c r="H29" s="242">
        <v>116775</v>
      </c>
      <c r="I29" s="242"/>
      <c r="J29" s="242">
        <f>10000-Page_26!C26</f>
        <v>9000</v>
      </c>
      <c r="K29" s="242"/>
      <c r="L29" s="242">
        <f t="shared" si="1"/>
        <v>125775</v>
      </c>
      <c r="M29" s="242"/>
      <c r="N29" s="242"/>
      <c r="O29" s="242">
        <v>9707</v>
      </c>
      <c r="P29" s="242"/>
      <c r="Q29" s="242">
        <f>10212-Page_26!D26</f>
        <v>9803.52</v>
      </c>
      <c r="R29" s="242"/>
      <c r="S29" s="242">
        <v>31422</v>
      </c>
      <c r="T29" s="70"/>
      <c r="U29" s="70"/>
      <c r="V29" s="20"/>
      <c r="W29" s="20"/>
      <c r="X29" s="20"/>
      <c r="Y29" s="20"/>
      <c r="Z29" s="20"/>
      <c r="AA29" s="20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CD29" s="21"/>
      <c r="CE29" s="21"/>
      <c r="CF29" s="21"/>
      <c r="CG29" s="21"/>
      <c r="CH29" s="21"/>
      <c r="CI29" s="21"/>
      <c r="CJ29" s="21"/>
      <c r="CK29" s="21"/>
      <c r="CL29" s="21"/>
      <c r="CM29" s="21"/>
      <c r="CN29" s="21"/>
      <c r="CO29" s="21"/>
      <c r="CP29" s="21"/>
      <c r="CQ29" s="21"/>
      <c r="CR29" s="21"/>
      <c r="CS29" s="21"/>
      <c r="CT29" s="21"/>
      <c r="CU29" s="21"/>
      <c r="CV29" s="21"/>
      <c r="CW29" s="21"/>
      <c r="CX29" s="21"/>
      <c r="CY29" s="21"/>
      <c r="CZ29" s="21"/>
      <c r="DA29" s="21"/>
      <c r="DB29" s="21"/>
      <c r="DC29" s="21"/>
      <c r="DD29" s="21"/>
      <c r="DE29" s="21"/>
      <c r="DF29" s="21"/>
      <c r="DG29" s="21"/>
      <c r="DH29" s="21"/>
      <c r="DI29" s="21"/>
      <c r="DJ29" s="21"/>
      <c r="DK29" s="21"/>
      <c r="DL29" s="21"/>
      <c r="DM29" s="21"/>
      <c r="DN29" s="21"/>
      <c r="DO29" s="21"/>
      <c r="DP29" s="21"/>
      <c r="DQ29" s="21"/>
      <c r="DR29" s="21"/>
      <c r="DS29" s="21"/>
      <c r="DT29" s="21"/>
      <c r="DU29" s="21"/>
      <c r="DV29" s="21"/>
      <c r="DW29" s="21"/>
      <c r="DX29" s="21"/>
      <c r="DY29" s="21"/>
      <c r="DZ29" s="21"/>
      <c r="EA29" s="21"/>
      <c r="EB29" s="21"/>
      <c r="EC29" s="21"/>
      <c r="ED29" s="21"/>
      <c r="EE29" s="21"/>
      <c r="EF29" s="21"/>
      <c r="EG29" s="21"/>
      <c r="EH29" s="21"/>
      <c r="EI29" s="21"/>
      <c r="EJ29" s="21"/>
      <c r="EK29" s="21"/>
      <c r="EL29" s="21"/>
      <c r="EM29" s="21"/>
      <c r="EN29" s="21"/>
      <c r="EO29" s="21"/>
      <c r="EP29" s="21"/>
      <c r="EQ29" s="21"/>
      <c r="ER29" s="21"/>
      <c r="ES29" s="21"/>
      <c r="ET29" s="21"/>
      <c r="EU29" s="21"/>
      <c r="EV29" s="21"/>
      <c r="EW29" s="21"/>
      <c r="EX29" s="21"/>
      <c r="EY29" s="21"/>
      <c r="EZ29" s="21"/>
      <c r="FA29" s="21"/>
      <c r="FB29" s="21"/>
      <c r="FC29" s="21"/>
      <c r="FD29" s="21"/>
      <c r="FE29" s="21"/>
      <c r="FF29" s="21"/>
      <c r="FG29" s="21"/>
      <c r="FH29" s="21"/>
      <c r="FI29" s="21"/>
      <c r="FJ29" s="21"/>
      <c r="FK29" s="21"/>
      <c r="FL29" s="21"/>
      <c r="FM29" s="21"/>
      <c r="FN29" s="21"/>
      <c r="FO29" s="21"/>
      <c r="FP29" s="21"/>
      <c r="FQ29" s="21"/>
      <c r="FR29" s="21"/>
      <c r="FS29" s="21"/>
      <c r="FT29" s="21"/>
      <c r="FU29" s="21"/>
      <c r="FV29" s="21"/>
      <c r="FW29" s="21"/>
      <c r="FX29" s="21"/>
      <c r="FY29" s="21"/>
      <c r="FZ29" s="21"/>
      <c r="GA29" s="21"/>
      <c r="GB29" s="21"/>
      <c r="GC29" s="21"/>
      <c r="GD29" s="21"/>
      <c r="GE29" s="21"/>
      <c r="GF29" s="21"/>
      <c r="GG29" s="21"/>
      <c r="GH29" s="21"/>
      <c r="GI29" s="21"/>
      <c r="GJ29" s="21"/>
      <c r="GK29" s="21"/>
      <c r="GL29" s="21"/>
      <c r="GM29" s="21"/>
      <c r="GN29" s="21"/>
      <c r="GO29" s="21"/>
      <c r="GP29" s="21"/>
      <c r="GQ29" s="21"/>
      <c r="GR29" s="21"/>
      <c r="GS29" s="21"/>
      <c r="GT29" s="21"/>
      <c r="GU29" s="21"/>
      <c r="GV29" s="21"/>
      <c r="GW29" s="21"/>
      <c r="GX29" s="21"/>
      <c r="GY29" s="21"/>
      <c r="GZ29" s="21"/>
      <c r="HA29" s="21"/>
      <c r="HB29" s="21"/>
      <c r="HC29" s="21"/>
      <c r="HD29" s="21"/>
      <c r="HE29" s="21"/>
      <c r="HF29" s="21"/>
      <c r="HG29" s="21"/>
      <c r="HH29" s="21"/>
      <c r="HI29" s="21"/>
      <c r="HJ29" s="21"/>
      <c r="HK29" s="21"/>
      <c r="HL29" s="21"/>
      <c r="HM29" s="21"/>
      <c r="HN29" s="21"/>
      <c r="HO29" s="21"/>
      <c r="HP29" s="21"/>
      <c r="HQ29" s="21"/>
      <c r="HR29" s="21"/>
      <c r="HS29" s="21"/>
      <c r="HT29" s="21"/>
      <c r="HU29" s="21"/>
      <c r="HV29" s="21"/>
      <c r="HW29" s="21"/>
      <c r="HX29" s="21"/>
      <c r="HY29" s="21"/>
    </row>
    <row r="30" spans="1:233" ht="18.5" x14ac:dyDescent="0.45">
      <c r="A30" s="269" t="s">
        <v>60</v>
      </c>
      <c r="B30" s="242">
        <v>57545</v>
      </c>
      <c r="C30" s="242" t="s">
        <v>102</v>
      </c>
      <c r="D30" s="242">
        <v>14189</v>
      </c>
      <c r="E30" s="242" t="s">
        <v>102</v>
      </c>
      <c r="F30" s="242">
        <f t="shared" si="0"/>
        <v>71734</v>
      </c>
      <c r="G30" s="242" t="s">
        <v>102</v>
      </c>
      <c r="H30" s="242">
        <v>121599</v>
      </c>
      <c r="I30" s="242" t="s">
        <v>102</v>
      </c>
      <c r="J30" s="242">
        <f>11716-Page_26!C27</f>
        <v>10544.4</v>
      </c>
      <c r="K30" s="242" t="s">
        <v>102</v>
      </c>
      <c r="L30" s="242">
        <f t="shared" si="1"/>
        <v>132143.4</v>
      </c>
      <c r="M30" s="242" t="s">
        <v>102</v>
      </c>
      <c r="N30" s="242" t="s">
        <v>102</v>
      </c>
      <c r="O30" s="242">
        <v>13147</v>
      </c>
      <c r="P30" s="242" t="s">
        <v>102</v>
      </c>
      <c r="Q30" s="242">
        <f>6948-Page_26!D27</f>
        <v>6670.08</v>
      </c>
      <c r="R30" s="242" t="s">
        <v>102</v>
      </c>
      <c r="S30" s="242">
        <v>28290</v>
      </c>
      <c r="T30" s="70" t="s">
        <v>102</v>
      </c>
      <c r="U30" s="70" t="s">
        <v>102</v>
      </c>
      <c r="V30" s="20"/>
      <c r="W30" s="20"/>
      <c r="X30" s="20"/>
      <c r="Y30" s="20"/>
      <c r="Z30" s="20"/>
      <c r="AA30" s="20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CD30" s="21"/>
      <c r="CE30" s="21"/>
      <c r="CF30" s="21"/>
      <c r="CG30" s="21"/>
      <c r="CH30" s="21"/>
      <c r="CI30" s="21"/>
      <c r="CJ30" s="21"/>
      <c r="CK30" s="21"/>
      <c r="CL30" s="21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CZ30" s="21"/>
      <c r="DA30" s="21"/>
      <c r="DB30" s="21"/>
      <c r="DC30" s="21"/>
      <c r="DD30" s="21"/>
      <c r="DE30" s="21"/>
      <c r="DF30" s="21"/>
      <c r="DG30" s="21"/>
      <c r="DH30" s="21"/>
      <c r="DI30" s="21"/>
      <c r="DJ30" s="21"/>
      <c r="DK30" s="21"/>
      <c r="DL30" s="21"/>
      <c r="DM30" s="21"/>
      <c r="DN30" s="21"/>
      <c r="DO30" s="21"/>
      <c r="DP30" s="21"/>
      <c r="DQ30" s="21"/>
      <c r="DR30" s="21"/>
      <c r="DS30" s="21"/>
      <c r="DT30" s="21"/>
      <c r="DU30" s="21"/>
      <c r="DV30" s="21"/>
      <c r="DW30" s="21"/>
      <c r="DX30" s="21"/>
      <c r="DY30" s="21"/>
      <c r="DZ30" s="21"/>
      <c r="EA30" s="21"/>
      <c r="EB30" s="21"/>
      <c r="EC30" s="21"/>
      <c r="ED30" s="21"/>
      <c r="EE30" s="21"/>
      <c r="EF30" s="21"/>
      <c r="EG30" s="21"/>
      <c r="EH30" s="21"/>
      <c r="EI30" s="21"/>
      <c r="EJ30" s="21"/>
      <c r="EK30" s="21"/>
      <c r="EL30" s="21"/>
      <c r="EM30" s="21"/>
      <c r="EN30" s="21"/>
      <c r="EO30" s="21"/>
      <c r="EP30" s="21"/>
      <c r="EQ30" s="21"/>
      <c r="ER30" s="21"/>
      <c r="ES30" s="21"/>
      <c r="ET30" s="21"/>
      <c r="EU30" s="21"/>
      <c r="EV30" s="21"/>
      <c r="EW30" s="21"/>
      <c r="EX30" s="21"/>
      <c r="EY30" s="21"/>
      <c r="EZ30" s="21"/>
      <c r="FA30" s="21"/>
      <c r="FB30" s="21"/>
      <c r="FC30" s="21"/>
      <c r="FD30" s="21"/>
      <c r="FE30" s="21"/>
      <c r="FF30" s="21"/>
      <c r="FG30" s="21"/>
      <c r="FH30" s="21"/>
      <c r="FI30" s="21"/>
      <c r="FJ30" s="21"/>
      <c r="FK30" s="21"/>
      <c r="FL30" s="21"/>
      <c r="FM30" s="21"/>
      <c r="FN30" s="21"/>
      <c r="FO30" s="21"/>
      <c r="FP30" s="21"/>
      <c r="FQ30" s="21"/>
      <c r="FR30" s="21"/>
      <c r="FS30" s="21"/>
      <c r="FT30" s="21"/>
      <c r="FU30" s="21"/>
      <c r="FV30" s="21"/>
      <c r="FW30" s="21"/>
      <c r="FX30" s="21"/>
      <c r="FY30" s="21"/>
      <c r="FZ30" s="21"/>
      <c r="GA30" s="21"/>
      <c r="GB30" s="21"/>
      <c r="GC30" s="21"/>
      <c r="GD30" s="21"/>
      <c r="GE30" s="21"/>
      <c r="GF30" s="21"/>
      <c r="GG30" s="21"/>
      <c r="GH30" s="21"/>
      <c r="GI30" s="21"/>
      <c r="GJ30" s="21"/>
      <c r="GK30" s="21"/>
      <c r="GL30" s="21"/>
      <c r="GM30" s="21"/>
      <c r="GN30" s="21"/>
      <c r="GO30" s="21"/>
      <c r="GP30" s="21"/>
      <c r="GQ30" s="21"/>
      <c r="GR30" s="21"/>
      <c r="GS30" s="21"/>
      <c r="GT30" s="21"/>
      <c r="GU30" s="21"/>
      <c r="GV30" s="21"/>
      <c r="GW30" s="21"/>
      <c r="GX30" s="21"/>
      <c r="GY30" s="21"/>
      <c r="GZ30" s="21"/>
      <c r="HA30" s="21"/>
      <c r="HB30" s="21"/>
      <c r="HC30" s="21"/>
      <c r="HD30" s="21"/>
      <c r="HE30" s="21"/>
      <c r="HF30" s="21"/>
      <c r="HG30" s="21"/>
      <c r="HH30" s="21"/>
      <c r="HI30" s="21"/>
      <c r="HJ30" s="21"/>
      <c r="HK30" s="21"/>
      <c r="HL30" s="21"/>
      <c r="HM30" s="21"/>
      <c r="HN30" s="21"/>
      <c r="HO30" s="21"/>
      <c r="HP30" s="21"/>
      <c r="HQ30" s="21"/>
      <c r="HR30" s="21"/>
      <c r="HS30" s="21"/>
      <c r="HT30" s="21"/>
      <c r="HU30" s="21"/>
      <c r="HV30" s="21"/>
      <c r="HW30" s="21"/>
      <c r="HX30" s="21"/>
      <c r="HY30" s="21"/>
    </row>
    <row r="31" spans="1:233" ht="18.5" x14ac:dyDescent="0.45">
      <c r="A31" s="270" t="s">
        <v>61</v>
      </c>
      <c r="B31" s="242">
        <v>55149</v>
      </c>
      <c r="C31" s="242" t="s">
        <v>102</v>
      </c>
      <c r="D31" s="242">
        <v>1493</v>
      </c>
      <c r="E31" s="242" t="s">
        <v>102</v>
      </c>
      <c r="F31" s="242">
        <f t="shared" si="0"/>
        <v>56642</v>
      </c>
      <c r="G31" s="242" t="s">
        <v>102</v>
      </c>
      <c r="H31" s="242">
        <v>96037</v>
      </c>
      <c r="I31" s="242" t="s">
        <v>102</v>
      </c>
      <c r="J31" s="242">
        <f>2500-Page_26!C28</f>
        <v>2250</v>
      </c>
      <c r="K31" s="242" t="s">
        <v>102</v>
      </c>
      <c r="L31" s="242">
        <f t="shared" si="1"/>
        <v>98287</v>
      </c>
      <c r="M31" s="242" t="s">
        <v>102</v>
      </c>
      <c r="N31" s="242" t="s">
        <v>102</v>
      </c>
      <c r="O31" s="242">
        <v>9493</v>
      </c>
      <c r="P31" s="242" t="s">
        <v>102</v>
      </c>
      <c r="Q31" s="242">
        <f>7967-Page_26!D28</f>
        <v>7648.32</v>
      </c>
      <c r="R31" s="242" t="s">
        <v>102</v>
      </c>
      <c r="S31" s="242">
        <v>28670</v>
      </c>
      <c r="T31" s="70" t="s">
        <v>102</v>
      </c>
      <c r="U31" s="70" t="s">
        <v>102</v>
      </c>
      <c r="V31" s="20"/>
      <c r="W31" s="20"/>
      <c r="X31" s="20"/>
      <c r="Y31" s="20"/>
      <c r="Z31" s="20"/>
      <c r="AA31" s="20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CD31" s="21"/>
      <c r="CE31" s="21"/>
      <c r="CF31" s="21"/>
      <c r="CG31" s="21"/>
      <c r="CH31" s="21"/>
      <c r="CI31" s="21"/>
      <c r="CJ31" s="21"/>
      <c r="CK31" s="21"/>
      <c r="CL31" s="21"/>
      <c r="CM31" s="21"/>
      <c r="CN31" s="21"/>
      <c r="CO31" s="21"/>
      <c r="CP31" s="21"/>
      <c r="CQ31" s="21"/>
      <c r="CR31" s="21"/>
      <c r="CS31" s="21"/>
      <c r="CT31" s="21"/>
      <c r="CU31" s="21"/>
      <c r="CV31" s="21"/>
      <c r="CW31" s="21"/>
      <c r="CX31" s="21"/>
      <c r="CY31" s="21"/>
      <c r="CZ31" s="21"/>
      <c r="DA31" s="21"/>
      <c r="DB31" s="21"/>
      <c r="DC31" s="21"/>
      <c r="DD31" s="21"/>
      <c r="DE31" s="21"/>
      <c r="DF31" s="21"/>
      <c r="DG31" s="21"/>
      <c r="DH31" s="21"/>
      <c r="DI31" s="21"/>
      <c r="DJ31" s="21"/>
      <c r="DK31" s="21"/>
      <c r="DL31" s="21"/>
      <c r="DM31" s="21"/>
      <c r="DN31" s="21"/>
      <c r="DO31" s="21"/>
      <c r="DP31" s="21"/>
      <c r="DQ31" s="21"/>
      <c r="DR31" s="21"/>
      <c r="DS31" s="21"/>
      <c r="DT31" s="21"/>
      <c r="DU31" s="21"/>
      <c r="DV31" s="21"/>
      <c r="DW31" s="21"/>
      <c r="DX31" s="21"/>
      <c r="DY31" s="21"/>
      <c r="DZ31" s="21"/>
      <c r="EA31" s="21"/>
      <c r="EB31" s="21"/>
      <c r="EC31" s="21"/>
      <c r="ED31" s="21"/>
      <c r="EE31" s="21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21"/>
      <c r="ER31" s="21"/>
      <c r="ES31" s="21"/>
      <c r="ET31" s="21"/>
      <c r="EU31" s="21"/>
      <c r="EV31" s="21"/>
      <c r="EW31" s="21"/>
      <c r="EX31" s="21"/>
      <c r="EY31" s="21"/>
      <c r="EZ31" s="21"/>
      <c r="FA31" s="21"/>
      <c r="FB31" s="21"/>
      <c r="FC31" s="21"/>
      <c r="FD31" s="21"/>
      <c r="FE31" s="21"/>
      <c r="FF31" s="21"/>
      <c r="FG31" s="21"/>
      <c r="FH31" s="21"/>
      <c r="FI31" s="21"/>
      <c r="FJ31" s="21"/>
      <c r="FK31" s="21"/>
      <c r="FL31" s="21"/>
      <c r="FM31" s="21"/>
      <c r="FN31" s="21"/>
      <c r="FO31" s="21"/>
      <c r="FP31" s="21"/>
      <c r="FQ31" s="21"/>
      <c r="FR31" s="21"/>
      <c r="FS31" s="21"/>
      <c r="FT31" s="21"/>
      <c r="FU31" s="21"/>
      <c r="FV31" s="21"/>
      <c r="FW31" s="21"/>
      <c r="FX31" s="21"/>
      <c r="FY31" s="21"/>
      <c r="FZ31" s="21"/>
      <c r="GA31" s="21"/>
      <c r="GB31" s="21"/>
      <c r="GC31" s="21"/>
      <c r="GD31" s="21"/>
      <c r="GE31" s="21"/>
      <c r="GF31" s="21"/>
      <c r="GG31" s="21"/>
      <c r="GH31" s="21"/>
      <c r="GI31" s="21"/>
      <c r="GJ31" s="21"/>
      <c r="GK31" s="21"/>
      <c r="GL31" s="21"/>
      <c r="GM31" s="21"/>
      <c r="GN31" s="21"/>
      <c r="GO31" s="21"/>
      <c r="GP31" s="21"/>
      <c r="GQ31" s="21"/>
      <c r="GR31" s="21"/>
      <c r="GS31" s="21"/>
      <c r="GT31" s="21"/>
      <c r="GU31" s="21"/>
      <c r="GV31" s="21"/>
      <c r="GW31" s="21"/>
      <c r="GX31" s="21"/>
      <c r="GY31" s="21"/>
      <c r="GZ31" s="21"/>
      <c r="HA31" s="21"/>
      <c r="HB31" s="21"/>
      <c r="HC31" s="21"/>
      <c r="HD31" s="21"/>
      <c r="HE31" s="21"/>
      <c r="HF31" s="21"/>
      <c r="HG31" s="21"/>
      <c r="HH31" s="21"/>
      <c r="HI31" s="21"/>
      <c r="HJ31" s="21"/>
      <c r="HK31" s="21"/>
      <c r="HL31" s="21"/>
      <c r="HM31" s="21"/>
      <c r="HN31" s="21"/>
      <c r="HO31" s="21"/>
      <c r="HP31" s="21"/>
      <c r="HQ31" s="21"/>
      <c r="HR31" s="21"/>
      <c r="HS31" s="21"/>
      <c r="HT31" s="21"/>
      <c r="HU31" s="21"/>
      <c r="HV31" s="21"/>
      <c r="HW31" s="21"/>
      <c r="HX31" s="21"/>
      <c r="HY31" s="21"/>
    </row>
    <row r="32" spans="1:233" ht="18.5" x14ac:dyDescent="0.45">
      <c r="A32" s="270" t="s">
        <v>62</v>
      </c>
      <c r="B32" s="242">
        <v>47322</v>
      </c>
      <c r="C32" s="242" t="s">
        <v>102</v>
      </c>
      <c r="D32" s="242">
        <v>3617</v>
      </c>
      <c r="E32" s="242" t="s">
        <v>102</v>
      </c>
      <c r="F32" s="242">
        <f t="shared" si="0"/>
        <v>50939</v>
      </c>
      <c r="G32" s="242" t="s">
        <v>102</v>
      </c>
      <c r="H32" s="242">
        <v>100978</v>
      </c>
      <c r="I32" s="242" t="s">
        <v>102</v>
      </c>
      <c r="J32" s="242">
        <f>4571-Page_26!C29</f>
        <v>4113.8999999999996</v>
      </c>
      <c r="K32" s="242" t="s">
        <v>102</v>
      </c>
      <c r="L32" s="242">
        <f t="shared" si="1"/>
        <v>105091.9</v>
      </c>
      <c r="M32" s="242" t="s">
        <v>102</v>
      </c>
      <c r="N32" s="242" t="s">
        <v>102</v>
      </c>
      <c r="O32" s="242">
        <v>9452</v>
      </c>
      <c r="P32" s="242" t="s">
        <v>102</v>
      </c>
      <c r="Q32" s="242">
        <f>7353-Page_26!D29</f>
        <v>7058.88</v>
      </c>
      <c r="R32" s="242" t="s">
        <v>102</v>
      </c>
      <c r="S32" s="242">
        <v>28624</v>
      </c>
      <c r="T32" s="70" t="s">
        <v>102</v>
      </c>
      <c r="U32" s="70" t="s">
        <v>102</v>
      </c>
      <c r="V32" s="20"/>
      <c r="W32" s="20"/>
      <c r="X32" s="20"/>
      <c r="Y32" s="20"/>
      <c r="Z32" s="20"/>
      <c r="AA32" s="20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CD32" s="21"/>
      <c r="CE32" s="21"/>
      <c r="CF32" s="21"/>
      <c r="CG32" s="21"/>
      <c r="CH32" s="21"/>
      <c r="CI32" s="21"/>
      <c r="CJ32" s="21"/>
      <c r="CK32" s="21"/>
      <c r="CL32" s="21"/>
      <c r="CM32" s="21"/>
      <c r="CN32" s="21"/>
      <c r="CO32" s="21"/>
      <c r="CP32" s="21"/>
      <c r="CQ32" s="21"/>
      <c r="CR32" s="21"/>
      <c r="CS32" s="21"/>
      <c r="CT32" s="21"/>
      <c r="CU32" s="21"/>
      <c r="CV32" s="21"/>
      <c r="CW32" s="21"/>
      <c r="CX32" s="21"/>
      <c r="CY32" s="21"/>
      <c r="CZ32" s="21"/>
      <c r="DA32" s="21"/>
      <c r="DB32" s="21"/>
      <c r="DC32" s="21"/>
      <c r="DD32" s="21"/>
      <c r="DE32" s="21"/>
      <c r="DF32" s="21"/>
      <c r="DG32" s="21"/>
      <c r="DH32" s="21"/>
      <c r="DI32" s="21"/>
      <c r="DJ32" s="21"/>
      <c r="DK32" s="21"/>
      <c r="DL32" s="21"/>
      <c r="DM32" s="21"/>
      <c r="DN32" s="21"/>
      <c r="DO32" s="21"/>
      <c r="DP32" s="21"/>
      <c r="DQ32" s="21"/>
      <c r="DR32" s="21"/>
      <c r="DS32" s="21"/>
      <c r="DT32" s="21"/>
      <c r="DU32" s="21"/>
      <c r="DV32" s="21"/>
      <c r="DW32" s="21"/>
      <c r="DX32" s="21"/>
      <c r="DY32" s="21"/>
      <c r="DZ32" s="21"/>
      <c r="EA32" s="21"/>
      <c r="EB32" s="21"/>
      <c r="EC32" s="21"/>
      <c r="ED32" s="21"/>
      <c r="EE32" s="21"/>
      <c r="EF32" s="21"/>
      <c r="EG32" s="21"/>
      <c r="EH32" s="21"/>
      <c r="EI32" s="21"/>
      <c r="EJ32" s="21"/>
      <c r="EK32" s="21"/>
      <c r="EL32" s="21"/>
      <c r="EM32" s="21"/>
      <c r="EN32" s="21"/>
      <c r="EO32" s="21"/>
      <c r="EP32" s="21"/>
      <c r="EQ32" s="21"/>
      <c r="ER32" s="21"/>
      <c r="ES32" s="21"/>
      <c r="ET32" s="21"/>
      <c r="EU32" s="21"/>
      <c r="EV32" s="21"/>
      <c r="EW32" s="21"/>
      <c r="EX32" s="21"/>
      <c r="EY32" s="21"/>
      <c r="EZ32" s="21"/>
      <c r="FA32" s="21"/>
      <c r="FB32" s="21"/>
      <c r="FC32" s="21"/>
      <c r="FD32" s="21"/>
      <c r="FE32" s="21"/>
      <c r="FF32" s="21"/>
      <c r="FG32" s="21"/>
      <c r="FH32" s="21"/>
      <c r="FI32" s="21"/>
      <c r="FJ32" s="21"/>
      <c r="FK32" s="21"/>
      <c r="FL32" s="21"/>
      <c r="FM32" s="21"/>
      <c r="FN32" s="21"/>
      <c r="FO32" s="21"/>
      <c r="FP32" s="21"/>
      <c r="FQ32" s="21"/>
      <c r="FR32" s="21"/>
      <c r="FS32" s="21"/>
      <c r="FT32" s="21"/>
      <c r="FU32" s="21"/>
      <c r="FV32" s="21"/>
      <c r="FW32" s="21"/>
      <c r="FX32" s="21"/>
      <c r="FY32" s="21"/>
      <c r="FZ32" s="21"/>
      <c r="GA32" s="21"/>
      <c r="GB32" s="21"/>
      <c r="GC32" s="21"/>
      <c r="GD32" s="21"/>
      <c r="GE32" s="21"/>
      <c r="GF32" s="21"/>
      <c r="GG32" s="21"/>
      <c r="GH32" s="21"/>
      <c r="GI32" s="21"/>
      <c r="GJ32" s="21"/>
      <c r="GK32" s="21"/>
      <c r="GL32" s="21"/>
      <c r="GM32" s="21"/>
      <c r="GN32" s="21"/>
      <c r="GO32" s="21"/>
      <c r="GP32" s="21"/>
      <c r="GQ32" s="21"/>
      <c r="GR32" s="21"/>
      <c r="GS32" s="21"/>
      <c r="GT32" s="21"/>
      <c r="GU32" s="21"/>
      <c r="GV32" s="21"/>
      <c r="GW32" s="21"/>
      <c r="GX32" s="21"/>
      <c r="GY32" s="21"/>
      <c r="GZ32" s="21"/>
      <c r="HA32" s="21"/>
      <c r="HB32" s="21"/>
      <c r="HC32" s="21"/>
      <c r="HD32" s="21"/>
      <c r="HE32" s="21"/>
      <c r="HF32" s="21"/>
      <c r="HG32" s="21"/>
      <c r="HH32" s="21"/>
      <c r="HI32" s="21"/>
      <c r="HJ32" s="21"/>
      <c r="HK32" s="21"/>
      <c r="HL32" s="21"/>
      <c r="HM32" s="21"/>
      <c r="HN32" s="21"/>
      <c r="HO32" s="21"/>
      <c r="HP32" s="21"/>
      <c r="HQ32" s="21"/>
      <c r="HR32" s="21"/>
      <c r="HS32" s="21"/>
      <c r="HT32" s="21"/>
      <c r="HU32" s="21"/>
      <c r="HV32" s="21"/>
      <c r="HW32" s="21"/>
      <c r="HX32" s="21"/>
      <c r="HY32" s="21"/>
    </row>
    <row r="33" spans="1:233" ht="18.5" x14ac:dyDescent="0.45">
      <c r="A33" s="270" t="s">
        <v>63</v>
      </c>
      <c r="B33" s="242">
        <v>43719</v>
      </c>
      <c r="C33" s="242" t="s">
        <v>102</v>
      </c>
      <c r="D33" s="242">
        <v>15043</v>
      </c>
      <c r="E33" s="242" t="s">
        <v>102</v>
      </c>
      <c r="F33" s="242">
        <f>SUM(B33:D33)</f>
        <v>58762</v>
      </c>
      <c r="G33" s="242" t="s">
        <v>102</v>
      </c>
      <c r="H33" s="242">
        <v>99641</v>
      </c>
      <c r="I33" s="242" t="s">
        <v>102</v>
      </c>
      <c r="J33" s="242">
        <f>21562-Page_26!C30</f>
        <v>19405.8</v>
      </c>
      <c r="K33" s="242" t="s">
        <v>102</v>
      </c>
      <c r="L33" s="242">
        <f>SUM(H33:J33)</f>
        <v>119046.8</v>
      </c>
      <c r="M33" s="242" t="s">
        <v>102</v>
      </c>
      <c r="N33" s="242" t="s">
        <v>102</v>
      </c>
      <c r="O33" s="242">
        <v>11568</v>
      </c>
      <c r="P33" s="242" t="s">
        <v>102</v>
      </c>
      <c r="Q33" s="242">
        <f>6264-Page_26!D30</f>
        <v>6013.44</v>
      </c>
      <c r="R33" s="242" t="s">
        <v>102</v>
      </c>
      <c r="S33" s="242">
        <v>25321</v>
      </c>
      <c r="T33" s="70" t="s">
        <v>102</v>
      </c>
      <c r="U33" s="70" t="s">
        <v>102</v>
      </c>
      <c r="V33" s="20"/>
      <c r="W33" s="20"/>
      <c r="X33" s="20"/>
      <c r="Y33" s="20"/>
      <c r="Z33" s="20"/>
      <c r="AA33" s="20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21"/>
      <c r="DI33" s="21"/>
      <c r="DJ33" s="21"/>
      <c r="DK33" s="21"/>
      <c r="DL33" s="21"/>
      <c r="DM33" s="21"/>
      <c r="DN33" s="21"/>
      <c r="DO33" s="21"/>
      <c r="DP33" s="21"/>
      <c r="DQ33" s="21"/>
      <c r="DR33" s="21"/>
      <c r="DS33" s="21"/>
      <c r="DT33" s="21"/>
      <c r="DU33" s="21"/>
      <c r="DV33" s="21"/>
      <c r="DW33" s="21"/>
      <c r="DX33" s="21"/>
      <c r="DY33" s="21"/>
      <c r="DZ33" s="21"/>
      <c r="EA33" s="21"/>
      <c r="EB33" s="21"/>
      <c r="EC33" s="21"/>
      <c r="ED33" s="21"/>
      <c r="EE33" s="21"/>
      <c r="EF33" s="21"/>
      <c r="EG33" s="21"/>
      <c r="EH33" s="21"/>
      <c r="EI33" s="21"/>
      <c r="EJ33" s="21"/>
      <c r="EK33" s="21"/>
      <c r="EL33" s="21"/>
      <c r="EM33" s="21"/>
      <c r="EN33" s="21"/>
      <c r="EO33" s="21"/>
      <c r="EP33" s="21"/>
      <c r="EQ33" s="21"/>
      <c r="ER33" s="21"/>
      <c r="ES33" s="21"/>
      <c r="ET33" s="21"/>
      <c r="EU33" s="21"/>
      <c r="EV33" s="21"/>
      <c r="EW33" s="21"/>
      <c r="EX33" s="21"/>
      <c r="EY33" s="21"/>
      <c r="EZ33" s="21"/>
      <c r="FA33" s="21"/>
      <c r="FB33" s="21"/>
      <c r="FC33" s="21"/>
      <c r="FD33" s="21"/>
      <c r="FE33" s="21"/>
      <c r="FF33" s="21"/>
      <c r="FG33" s="21"/>
      <c r="FH33" s="21"/>
      <c r="FI33" s="21"/>
      <c r="FJ33" s="21"/>
      <c r="FK33" s="21"/>
      <c r="FL33" s="21"/>
      <c r="FM33" s="21"/>
      <c r="FN33" s="21"/>
      <c r="FO33" s="21"/>
      <c r="FP33" s="21"/>
      <c r="FQ33" s="21"/>
      <c r="FR33" s="21"/>
      <c r="FS33" s="21"/>
      <c r="FT33" s="21"/>
      <c r="FU33" s="21"/>
      <c r="FV33" s="21"/>
      <c r="FW33" s="21"/>
      <c r="FX33" s="21"/>
      <c r="FY33" s="21"/>
      <c r="FZ33" s="21"/>
      <c r="GA33" s="21"/>
      <c r="GB33" s="21"/>
      <c r="GC33" s="21"/>
      <c r="GD33" s="21"/>
      <c r="GE33" s="21"/>
      <c r="GF33" s="21"/>
      <c r="GG33" s="21"/>
      <c r="GH33" s="21"/>
      <c r="GI33" s="21"/>
      <c r="GJ33" s="21"/>
      <c r="GK33" s="21"/>
      <c r="GL33" s="21"/>
      <c r="GM33" s="21"/>
      <c r="GN33" s="21"/>
      <c r="GO33" s="21"/>
      <c r="GP33" s="21"/>
      <c r="GQ33" s="21"/>
      <c r="GR33" s="21"/>
      <c r="GS33" s="21"/>
      <c r="GT33" s="21"/>
      <c r="GU33" s="21"/>
      <c r="GV33" s="21"/>
      <c r="GW33" s="21"/>
      <c r="GX33" s="21"/>
      <c r="GY33" s="21"/>
      <c r="GZ33" s="21"/>
      <c r="HA33" s="21"/>
      <c r="HB33" s="21"/>
      <c r="HC33" s="21"/>
      <c r="HD33" s="21"/>
      <c r="HE33" s="21"/>
      <c r="HF33" s="21"/>
      <c r="HG33" s="21"/>
      <c r="HH33" s="21"/>
      <c r="HI33" s="21"/>
      <c r="HJ33" s="21"/>
      <c r="HK33" s="21"/>
      <c r="HL33" s="21"/>
      <c r="HM33" s="21"/>
      <c r="HN33" s="21"/>
      <c r="HO33" s="21"/>
      <c r="HP33" s="21"/>
      <c r="HQ33" s="21"/>
      <c r="HR33" s="21"/>
      <c r="HS33" s="21"/>
      <c r="HT33" s="21"/>
      <c r="HU33" s="21"/>
      <c r="HV33" s="21"/>
      <c r="HW33" s="21"/>
      <c r="HX33" s="21"/>
      <c r="HY33" s="21"/>
    </row>
    <row r="34" spans="1:233" ht="18.5" x14ac:dyDescent="0.45">
      <c r="A34" s="270" t="s">
        <v>64</v>
      </c>
      <c r="B34" s="242">
        <v>60474</v>
      </c>
      <c r="C34" s="242" t="s">
        <v>102</v>
      </c>
      <c r="D34" s="242">
        <v>2752</v>
      </c>
      <c r="E34" s="242" t="s">
        <v>102</v>
      </c>
      <c r="F34" s="242">
        <f>SUM(B34:D34)</f>
        <v>63226</v>
      </c>
      <c r="G34" s="242" t="s">
        <v>102</v>
      </c>
      <c r="H34" s="242">
        <v>101470</v>
      </c>
      <c r="I34" s="242" t="s">
        <v>102</v>
      </c>
      <c r="J34" s="242">
        <f>4000-Page_26!C31</f>
        <v>3600</v>
      </c>
      <c r="K34" s="242" t="s">
        <v>102</v>
      </c>
      <c r="L34" s="242">
        <f>SUM(H34:J34)</f>
        <v>105070</v>
      </c>
      <c r="M34" s="242" t="s">
        <v>102</v>
      </c>
      <c r="N34" s="242" t="s">
        <v>102</v>
      </c>
      <c r="O34" s="242">
        <v>10741</v>
      </c>
      <c r="P34" s="242" t="s">
        <v>102</v>
      </c>
      <c r="Q34" s="242">
        <f>8068-Page_26!D31</f>
        <v>7745.28</v>
      </c>
      <c r="R34" s="242" t="s">
        <v>102</v>
      </c>
      <c r="S34" s="242">
        <v>27375</v>
      </c>
      <c r="T34" s="70" t="s">
        <v>102</v>
      </c>
      <c r="U34" s="70" t="s">
        <v>102</v>
      </c>
      <c r="V34" s="20"/>
      <c r="W34" s="20"/>
      <c r="X34" s="20"/>
      <c r="Y34" s="20"/>
      <c r="Z34" s="20"/>
      <c r="AA34" s="20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CD34" s="21"/>
      <c r="CE34" s="21"/>
      <c r="CF34" s="21"/>
      <c r="CG34" s="21"/>
      <c r="CH34" s="21"/>
      <c r="CI34" s="21"/>
      <c r="CJ34" s="21"/>
      <c r="CK34" s="21"/>
      <c r="CL34" s="21"/>
      <c r="CM34" s="21"/>
      <c r="CN34" s="21"/>
      <c r="CO34" s="21"/>
      <c r="CP34" s="21"/>
      <c r="CQ34" s="21"/>
      <c r="CR34" s="21"/>
      <c r="CS34" s="21"/>
      <c r="CT34" s="21"/>
      <c r="CU34" s="21"/>
      <c r="CV34" s="21"/>
      <c r="CW34" s="21"/>
      <c r="CX34" s="21"/>
      <c r="CY34" s="21"/>
      <c r="CZ34" s="21"/>
      <c r="DA34" s="21"/>
      <c r="DB34" s="21"/>
      <c r="DC34" s="21"/>
      <c r="DD34" s="21"/>
      <c r="DE34" s="21"/>
      <c r="DF34" s="21"/>
      <c r="DG34" s="21"/>
      <c r="DH34" s="21"/>
      <c r="DI34" s="21"/>
      <c r="DJ34" s="21"/>
      <c r="DK34" s="21"/>
      <c r="DL34" s="21"/>
      <c r="DM34" s="21"/>
      <c r="DN34" s="21"/>
      <c r="DO34" s="21"/>
      <c r="DP34" s="21"/>
      <c r="DQ34" s="21"/>
      <c r="DR34" s="21"/>
      <c r="DS34" s="21"/>
      <c r="DT34" s="21"/>
      <c r="DU34" s="21"/>
      <c r="DV34" s="21"/>
      <c r="DW34" s="21"/>
      <c r="DX34" s="21"/>
      <c r="DY34" s="21"/>
      <c r="DZ34" s="21"/>
      <c r="EA34" s="21"/>
      <c r="EB34" s="21"/>
      <c r="EC34" s="21"/>
      <c r="ED34" s="21"/>
      <c r="EE34" s="21"/>
      <c r="EF34" s="21"/>
      <c r="EG34" s="21"/>
      <c r="EH34" s="21"/>
      <c r="EI34" s="21"/>
      <c r="EJ34" s="21"/>
      <c r="EK34" s="21"/>
      <c r="EL34" s="21"/>
      <c r="EM34" s="21"/>
      <c r="EN34" s="21"/>
      <c r="EO34" s="21"/>
      <c r="EP34" s="21"/>
      <c r="EQ34" s="21"/>
      <c r="ER34" s="21"/>
      <c r="ES34" s="21"/>
      <c r="ET34" s="21"/>
      <c r="EU34" s="21"/>
      <c r="EV34" s="21"/>
      <c r="EW34" s="21"/>
      <c r="EX34" s="21"/>
      <c r="EY34" s="21"/>
      <c r="EZ34" s="21"/>
      <c r="FA34" s="21"/>
      <c r="FB34" s="21"/>
      <c r="FC34" s="21"/>
      <c r="FD34" s="21"/>
      <c r="FE34" s="21"/>
      <c r="FF34" s="21"/>
      <c r="FG34" s="21"/>
      <c r="FH34" s="21"/>
      <c r="FI34" s="21"/>
      <c r="FJ34" s="21"/>
      <c r="FK34" s="21"/>
      <c r="FL34" s="21"/>
      <c r="FM34" s="21"/>
      <c r="FN34" s="21"/>
      <c r="FO34" s="21"/>
      <c r="FP34" s="21"/>
      <c r="FQ34" s="21"/>
      <c r="FR34" s="21"/>
      <c r="FS34" s="21"/>
      <c r="FT34" s="21"/>
      <c r="FU34" s="21"/>
      <c r="FV34" s="21"/>
      <c r="FW34" s="21"/>
      <c r="FX34" s="21"/>
      <c r="FY34" s="21"/>
      <c r="FZ34" s="21"/>
      <c r="GA34" s="21"/>
      <c r="GB34" s="21"/>
      <c r="GC34" s="21"/>
      <c r="GD34" s="21"/>
      <c r="GE34" s="21"/>
      <c r="GF34" s="21"/>
      <c r="GG34" s="21"/>
      <c r="GH34" s="21"/>
      <c r="GI34" s="21"/>
      <c r="GJ34" s="21"/>
      <c r="GK34" s="21"/>
      <c r="GL34" s="21"/>
      <c r="GM34" s="21"/>
      <c r="GN34" s="21"/>
      <c r="GO34" s="21"/>
      <c r="GP34" s="21"/>
      <c r="GQ34" s="21"/>
      <c r="GR34" s="21"/>
      <c r="GS34" s="21"/>
      <c r="GT34" s="21"/>
      <c r="GU34" s="21"/>
      <c r="GV34" s="21"/>
      <c r="GW34" s="21"/>
      <c r="GX34" s="21"/>
      <c r="GY34" s="21"/>
      <c r="GZ34" s="21"/>
      <c r="HA34" s="21"/>
      <c r="HB34" s="21"/>
      <c r="HC34" s="21"/>
      <c r="HD34" s="21"/>
      <c r="HE34" s="21"/>
      <c r="HF34" s="21"/>
      <c r="HG34" s="21"/>
      <c r="HH34" s="21"/>
      <c r="HI34" s="21"/>
      <c r="HJ34" s="21"/>
      <c r="HK34" s="21"/>
      <c r="HL34" s="21"/>
      <c r="HM34" s="21"/>
      <c r="HN34" s="21"/>
      <c r="HO34" s="21"/>
      <c r="HP34" s="21"/>
      <c r="HQ34" s="21"/>
      <c r="HR34" s="21"/>
      <c r="HS34" s="21"/>
      <c r="HT34" s="21"/>
      <c r="HU34" s="21"/>
      <c r="HV34" s="21"/>
      <c r="HW34" s="21"/>
      <c r="HX34" s="21"/>
      <c r="HY34" s="21"/>
    </row>
    <row r="35" spans="1:233" ht="18.5" x14ac:dyDescent="0.45">
      <c r="A35" s="270" t="s">
        <v>65</v>
      </c>
      <c r="B35" s="242">
        <v>42087</v>
      </c>
      <c r="C35" s="242" t="s">
        <v>102</v>
      </c>
      <c r="D35" s="242">
        <v>23272</v>
      </c>
      <c r="E35" s="242" t="s">
        <v>102</v>
      </c>
      <c r="F35" s="242">
        <f>SUM(B35:D35)</f>
        <v>65359</v>
      </c>
      <c r="G35" s="242" t="s">
        <v>102</v>
      </c>
      <c r="H35" s="242">
        <v>72935</v>
      </c>
      <c r="I35" s="242" t="s">
        <v>102</v>
      </c>
      <c r="J35" s="242">
        <f>5805-Page_26!C32</f>
        <v>5224.5</v>
      </c>
      <c r="K35" s="242" t="s">
        <v>102</v>
      </c>
      <c r="L35" s="242">
        <f>SUM(H35:J35)</f>
        <v>78159.5</v>
      </c>
      <c r="M35" s="242" t="s">
        <v>102</v>
      </c>
      <c r="N35" s="242" t="s">
        <v>102</v>
      </c>
      <c r="O35" s="242">
        <v>8590</v>
      </c>
      <c r="P35" s="242" t="s">
        <v>102</v>
      </c>
      <c r="Q35" s="242">
        <f>7419-Page_26!D32</f>
        <v>7122.24</v>
      </c>
      <c r="R35" s="242" t="s">
        <v>102</v>
      </c>
      <c r="S35" s="242">
        <v>28686</v>
      </c>
      <c r="T35" s="70" t="s">
        <v>102</v>
      </c>
      <c r="U35" s="70" t="s">
        <v>102</v>
      </c>
      <c r="V35" s="20"/>
      <c r="W35" s="20"/>
      <c r="X35" s="20"/>
      <c r="Y35" s="20"/>
      <c r="Z35" s="20"/>
      <c r="AA35" s="20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CD35" s="21"/>
      <c r="CE35" s="21"/>
      <c r="CF35" s="21"/>
      <c r="CG35" s="21"/>
      <c r="CH35" s="21"/>
      <c r="CI35" s="21"/>
      <c r="CJ35" s="21"/>
      <c r="CK35" s="21"/>
      <c r="CL35" s="21"/>
      <c r="CM35" s="21"/>
      <c r="CN35" s="21"/>
      <c r="CO35" s="21"/>
      <c r="CP35" s="21"/>
      <c r="CQ35" s="21"/>
      <c r="CR35" s="21"/>
      <c r="CS35" s="21"/>
      <c r="CT35" s="21"/>
      <c r="CU35" s="21"/>
      <c r="CV35" s="21"/>
      <c r="CW35" s="21"/>
      <c r="CX35" s="21"/>
      <c r="CY35" s="21"/>
      <c r="CZ35" s="21"/>
      <c r="DA35" s="21"/>
      <c r="DB35" s="21"/>
      <c r="DC35" s="21"/>
      <c r="DD35" s="21"/>
      <c r="DE35" s="21"/>
      <c r="DF35" s="21"/>
      <c r="DG35" s="21"/>
      <c r="DH35" s="21"/>
      <c r="DI35" s="21"/>
      <c r="DJ35" s="21"/>
      <c r="DK35" s="21"/>
      <c r="DL35" s="21"/>
      <c r="DM35" s="21"/>
      <c r="DN35" s="21"/>
      <c r="DO35" s="21"/>
      <c r="DP35" s="21"/>
      <c r="DQ35" s="21"/>
      <c r="DR35" s="21"/>
      <c r="DS35" s="21"/>
      <c r="DT35" s="21"/>
      <c r="DU35" s="21"/>
      <c r="DV35" s="21"/>
      <c r="DW35" s="21"/>
      <c r="DX35" s="21"/>
      <c r="DY35" s="21"/>
      <c r="DZ35" s="21"/>
      <c r="EA35" s="21"/>
      <c r="EB35" s="21"/>
      <c r="EC35" s="21"/>
      <c r="ED35" s="21"/>
      <c r="EE35" s="21"/>
      <c r="EF35" s="21"/>
      <c r="EG35" s="21"/>
      <c r="EH35" s="21"/>
      <c r="EI35" s="21"/>
      <c r="EJ35" s="21"/>
      <c r="EK35" s="21"/>
      <c r="EL35" s="21"/>
      <c r="EM35" s="21"/>
      <c r="EN35" s="21"/>
      <c r="EO35" s="21"/>
      <c r="EP35" s="21"/>
      <c r="EQ35" s="21"/>
      <c r="ER35" s="21"/>
      <c r="ES35" s="21"/>
      <c r="ET35" s="21"/>
      <c r="EU35" s="21"/>
      <c r="EV35" s="21"/>
      <c r="EW35" s="21"/>
      <c r="EX35" s="21"/>
      <c r="EY35" s="21"/>
      <c r="EZ35" s="21"/>
      <c r="FA35" s="21"/>
      <c r="FB35" s="21"/>
      <c r="FC35" s="21"/>
      <c r="FD35" s="21"/>
      <c r="FE35" s="21"/>
      <c r="FF35" s="21"/>
      <c r="FG35" s="21"/>
      <c r="FH35" s="21"/>
      <c r="FI35" s="21"/>
      <c r="FJ35" s="21"/>
      <c r="FK35" s="21"/>
      <c r="FL35" s="21"/>
      <c r="FM35" s="21"/>
      <c r="FN35" s="21"/>
      <c r="FO35" s="21"/>
      <c r="FP35" s="21"/>
      <c r="FQ35" s="21"/>
      <c r="FR35" s="21"/>
      <c r="FS35" s="21"/>
      <c r="FT35" s="21"/>
      <c r="FU35" s="21"/>
      <c r="FV35" s="21"/>
      <c r="FW35" s="21"/>
      <c r="FX35" s="21"/>
      <c r="FY35" s="21"/>
      <c r="FZ35" s="21"/>
      <c r="GA35" s="21"/>
      <c r="GB35" s="21"/>
      <c r="GC35" s="21"/>
      <c r="GD35" s="21"/>
      <c r="GE35" s="21"/>
      <c r="GF35" s="21"/>
      <c r="GG35" s="21"/>
      <c r="GH35" s="21"/>
      <c r="GI35" s="21"/>
      <c r="GJ35" s="21"/>
      <c r="GK35" s="21"/>
      <c r="GL35" s="21"/>
      <c r="GM35" s="21"/>
      <c r="GN35" s="21"/>
      <c r="GO35" s="21"/>
      <c r="GP35" s="21"/>
      <c r="GQ35" s="21"/>
      <c r="GR35" s="21"/>
      <c r="GS35" s="21"/>
      <c r="GT35" s="21"/>
      <c r="GU35" s="21"/>
      <c r="GV35" s="21"/>
      <c r="GW35" s="21"/>
      <c r="GX35" s="21"/>
      <c r="GY35" s="21"/>
      <c r="GZ35" s="21"/>
      <c r="HA35" s="21"/>
      <c r="HB35" s="21"/>
      <c r="HC35" s="21"/>
      <c r="HD35" s="21"/>
      <c r="HE35" s="21"/>
      <c r="HF35" s="21"/>
      <c r="HG35" s="21"/>
      <c r="HH35" s="21"/>
      <c r="HI35" s="21"/>
      <c r="HJ35" s="21"/>
      <c r="HK35" s="21"/>
      <c r="HL35" s="21"/>
      <c r="HM35" s="21"/>
      <c r="HN35" s="21"/>
      <c r="HO35" s="21"/>
      <c r="HP35" s="21"/>
      <c r="HQ35" s="21"/>
      <c r="HR35" s="21"/>
      <c r="HS35" s="21"/>
      <c r="HT35" s="21"/>
      <c r="HU35" s="21"/>
      <c r="HV35" s="21"/>
      <c r="HW35" s="21"/>
      <c r="HX35" s="21"/>
      <c r="HY35" s="21"/>
    </row>
    <row r="36" spans="1:233" ht="18.5" x14ac:dyDescent="0.45">
      <c r="A36" s="270" t="s">
        <v>66</v>
      </c>
      <c r="B36" s="242">
        <v>47145</v>
      </c>
      <c r="C36" s="242" t="s">
        <v>102</v>
      </c>
      <c r="D36" s="242">
        <v>22226</v>
      </c>
      <c r="E36" s="242" t="s">
        <v>102</v>
      </c>
      <c r="F36" s="242">
        <f>SUM(B36:D36)</f>
        <v>69371</v>
      </c>
      <c r="G36" s="242" t="s">
        <v>102</v>
      </c>
      <c r="H36" s="242">
        <v>105434</v>
      </c>
      <c r="I36" s="242" t="s">
        <v>102</v>
      </c>
      <c r="J36" s="242">
        <f>7361-Page_26!C33</f>
        <v>6624.9</v>
      </c>
      <c r="K36" s="242" t="s">
        <v>102</v>
      </c>
      <c r="L36" s="242">
        <f>SUM(H36:J36)</f>
        <v>112058.9</v>
      </c>
      <c r="M36" s="242" t="s">
        <v>102</v>
      </c>
      <c r="N36" s="242" t="s">
        <v>102</v>
      </c>
      <c r="O36" s="242">
        <v>8362</v>
      </c>
      <c r="P36" s="242" t="s">
        <v>102</v>
      </c>
      <c r="Q36" s="242">
        <f>6606-Page_26!D33</f>
        <v>6341.76</v>
      </c>
      <c r="R36" s="242" t="s">
        <v>102</v>
      </c>
      <c r="S36" s="242">
        <v>30598</v>
      </c>
      <c r="T36" s="70" t="s">
        <v>102</v>
      </c>
      <c r="U36" s="70" t="s">
        <v>102</v>
      </c>
      <c r="V36" s="20"/>
      <c r="W36" s="20"/>
      <c r="X36" s="20"/>
      <c r="Y36" s="20"/>
      <c r="Z36" s="20"/>
      <c r="AA36" s="20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CD36" s="21"/>
      <c r="CE36" s="21"/>
      <c r="CF36" s="21"/>
      <c r="CG36" s="21"/>
      <c r="CH36" s="21"/>
      <c r="CI36" s="21"/>
      <c r="CJ36" s="21"/>
      <c r="CK36" s="21"/>
      <c r="CL36" s="21"/>
      <c r="CM36" s="21"/>
      <c r="CN36" s="21"/>
      <c r="CO36" s="21"/>
      <c r="CP36" s="21"/>
      <c r="CQ36" s="21"/>
      <c r="CR36" s="21"/>
      <c r="CS36" s="21"/>
      <c r="CT36" s="21"/>
      <c r="CU36" s="21"/>
      <c r="CV36" s="21"/>
      <c r="CW36" s="21"/>
      <c r="CX36" s="21"/>
      <c r="CY36" s="21"/>
      <c r="CZ36" s="21"/>
      <c r="DA36" s="21"/>
      <c r="DB36" s="21"/>
      <c r="DC36" s="21"/>
      <c r="DD36" s="21"/>
      <c r="DE36" s="21"/>
      <c r="DF36" s="21"/>
      <c r="DG36" s="21"/>
      <c r="DH36" s="21"/>
      <c r="DI36" s="21"/>
      <c r="DJ36" s="21"/>
      <c r="DK36" s="21"/>
      <c r="DL36" s="21"/>
      <c r="DM36" s="21"/>
      <c r="DN36" s="21"/>
      <c r="DO36" s="21"/>
      <c r="DP36" s="21"/>
      <c r="DQ36" s="21"/>
      <c r="DR36" s="21"/>
      <c r="DS36" s="21"/>
      <c r="DT36" s="21"/>
      <c r="DU36" s="21"/>
      <c r="DV36" s="21"/>
      <c r="DW36" s="21"/>
      <c r="DX36" s="21"/>
      <c r="DY36" s="21"/>
      <c r="DZ36" s="21"/>
      <c r="EA36" s="21"/>
      <c r="EB36" s="21"/>
      <c r="EC36" s="21"/>
      <c r="ED36" s="21"/>
      <c r="EE36" s="21"/>
      <c r="EF36" s="21"/>
      <c r="EG36" s="21"/>
      <c r="EH36" s="21"/>
      <c r="EI36" s="21"/>
      <c r="EJ36" s="21"/>
      <c r="EK36" s="21"/>
      <c r="EL36" s="21"/>
      <c r="EM36" s="21"/>
      <c r="EN36" s="21"/>
      <c r="EO36" s="21"/>
      <c r="EP36" s="21"/>
      <c r="EQ36" s="21"/>
      <c r="ER36" s="21"/>
      <c r="ES36" s="21"/>
      <c r="ET36" s="21"/>
      <c r="EU36" s="21"/>
      <c r="EV36" s="21"/>
      <c r="EW36" s="21"/>
      <c r="EX36" s="21"/>
      <c r="EY36" s="21"/>
      <c r="EZ36" s="21"/>
      <c r="FA36" s="21"/>
      <c r="FB36" s="21"/>
      <c r="FC36" s="21"/>
      <c r="FD36" s="21"/>
      <c r="FE36" s="21"/>
      <c r="FF36" s="21"/>
      <c r="FG36" s="21"/>
      <c r="FH36" s="21"/>
      <c r="FI36" s="21"/>
      <c r="FJ36" s="21"/>
      <c r="FK36" s="21"/>
      <c r="FL36" s="21"/>
      <c r="FM36" s="21"/>
      <c r="FN36" s="21"/>
      <c r="FO36" s="21"/>
      <c r="FP36" s="21"/>
      <c r="FQ36" s="21"/>
      <c r="FR36" s="21"/>
      <c r="FS36" s="21"/>
      <c r="FT36" s="21"/>
      <c r="FU36" s="21"/>
      <c r="FV36" s="21"/>
      <c r="FW36" s="21"/>
      <c r="FX36" s="21"/>
      <c r="FY36" s="21"/>
      <c r="FZ36" s="21"/>
      <c r="GA36" s="21"/>
      <c r="GB36" s="21"/>
      <c r="GC36" s="21"/>
      <c r="GD36" s="21"/>
      <c r="GE36" s="21"/>
      <c r="GF36" s="21"/>
      <c r="GG36" s="21"/>
      <c r="GH36" s="21"/>
      <c r="GI36" s="21"/>
      <c r="GJ36" s="21"/>
      <c r="GK36" s="21"/>
      <c r="GL36" s="21"/>
      <c r="GM36" s="21"/>
      <c r="GN36" s="21"/>
      <c r="GO36" s="21"/>
      <c r="GP36" s="21"/>
      <c r="GQ36" s="21"/>
      <c r="GR36" s="21"/>
      <c r="GS36" s="21"/>
      <c r="GT36" s="21"/>
      <c r="GU36" s="21"/>
      <c r="GV36" s="21"/>
      <c r="GW36" s="21"/>
      <c r="GX36" s="21"/>
      <c r="GY36" s="21"/>
      <c r="GZ36" s="21"/>
      <c r="HA36" s="21"/>
      <c r="HB36" s="21"/>
      <c r="HC36" s="21"/>
      <c r="HD36" s="21"/>
      <c r="HE36" s="21"/>
      <c r="HF36" s="21"/>
      <c r="HG36" s="21"/>
      <c r="HH36" s="21"/>
      <c r="HI36" s="21"/>
      <c r="HJ36" s="21"/>
      <c r="HK36" s="21"/>
      <c r="HL36" s="21"/>
      <c r="HM36" s="21"/>
      <c r="HN36" s="21"/>
      <c r="HO36" s="21"/>
      <c r="HP36" s="21"/>
      <c r="HQ36" s="21"/>
      <c r="HR36" s="21"/>
      <c r="HS36" s="21"/>
      <c r="HT36" s="21"/>
      <c r="HU36" s="21"/>
      <c r="HV36" s="21"/>
      <c r="HW36" s="21"/>
      <c r="HX36" s="21"/>
      <c r="HY36" s="21"/>
    </row>
    <row r="37" spans="1:233" ht="18.5" x14ac:dyDescent="0.45">
      <c r="A37" s="269" t="s">
        <v>67</v>
      </c>
      <c r="B37" s="242">
        <v>35119</v>
      </c>
      <c r="C37" s="242" t="s">
        <v>102</v>
      </c>
      <c r="D37" s="242">
        <v>650</v>
      </c>
      <c r="E37" s="242" t="s">
        <v>102</v>
      </c>
      <c r="F37" s="242">
        <f>SUM(B37:D37)</f>
        <v>35769</v>
      </c>
      <c r="G37" s="242" t="s">
        <v>102</v>
      </c>
      <c r="H37" s="242">
        <v>74371</v>
      </c>
      <c r="I37" s="242" t="s">
        <v>102</v>
      </c>
      <c r="J37" s="243">
        <f>0-Page_26!C34</f>
        <v>0</v>
      </c>
      <c r="K37" s="242" t="s">
        <v>102</v>
      </c>
      <c r="L37" s="242">
        <f t="shared" si="1"/>
        <v>74371</v>
      </c>
      <c r="M37" s="242" t="s">
        <v>102</v>
      </c>
      <c r="N37" s="242" t="s">
        <v>102</v>
      </c>
      <c r="O37" s="242">
        <v>6790</v>
      </c>
      <c r="P37" s="242" t="s">
        <v>102</v>
      </c>
      <c r="Q37" s="242">
        <f>6363-Page_26!D34</f>
        <v>6108.48</v>
      </c>
      <c r="R37" s="242" t="s">
        <v>102</v>
      </c>
      <c r="S37" s="242">
        <v>17280</v>
      </c>
      <c r="T37" s="70" t="s">
        <v>102</v>
      </c>
      <c r="U37" s="70" t="s">
        <v>102</v>
      </c>
      <c r="V37" s="20"/>
      <c r="W37" s="20"/>
      <c r="X37" s="20"/>
      <c r="Y37" s="20"/>
      <c r="Z37" s="20"/>
      <c r="AA37" s="20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CD37" s="21"/>
      <c r="CE37" s="21"/>
      <c r="CF37" s="21"/>
      <c r="CG37" s="21"/>
      <c r="CH37" s="21"/>
      <c r="CI37" s="21"/>
      <c r="CJ37" s="21"/>
      <c r="CK37" s="21"/>
      <c r="CL37" s="21"/>
      <c r="CM37" s="21"/>
      <c r="CN37" s="21"/>
      <c r="CO37" s="21"/>
      <c r="CP37" s="21"/>
      <c r="CQ37" s="21"/>
      <c r="CR37" s="21"/>
      <c r="CS37" s="21"/>
      <c r="CT37" s="21"/>
      <c r="CU37" s="21"/>
      <c r="CV37" s="21"/>
      <c r="CW37" s="21"/>
      <c r="CX37" s="21"/>
      <c r="CY37" s="21"/>
      <c r="CZ37" s="21"/>
      <c r="DA37" s="21"/>
      <c r="DB37" s="21"/>
      <c r="DC37" s="21"/>
      <c r="DD37" s="21"/>
      <c r="DE37" s="21"/>
      <c r="DF37" s="21"/>
      <c r="DG37" s="21"/>
      <c r="DH37" s="21"/>
      <c r="DI37" s="21"/>
      <c r="DJ37" s="21"/>
      <c r="DK37" s="21"/>
      <c r="DL37" s="21"/>
      <c r="DM37" s="21"/>
      <c r="DN37" s="21"/>
      <c r="DO37" s="21"/>
      <c r="DP37" s="21"/>
      <c r="DQ37" s="21"/>
      <c r="DR37" s="21"/>
      <c r="DS37" s="21"/>
      <c r="DT37" s="21"/>
      <c r="DU37" s="21"/>
      <c r="DV37" s="21"/>
      <c r="DW37" s="21"/>
      <c r="DX37" s="21"/>
      <c r="DY37" s="21"/>
      <c r="DZ37" s="21"/>
      <c r="EA37" s="21"/>
      <c r="EB37" s="21"/>
      <c r="EC37" s="21"/>
      <c r="ED37" s="21"/>
      <c r="EE37" s="21"/>
      <c r="EF37" s="21"/>
      <c r="EG37" s="21"/>
      <c r="EH37" s="21"/>
      <c r="EI37" s="21"/>
      <c r="EJ37" s="21"/>
      <c r="EK37" s="21"/>
      <c r="EL37" s="21"/>
      <c r="EM37" s="21"/>
      <c r="EN37" s="21"/>
      <c r="EO37" s="21"/>
      <c r="EP37" s="21"/>
      <c r="EQ37" s="21"/>
      <c r="ER37" s="21"/>
      <c r="ES37" s="21"/>
      <c r="ET37" s="21"/>
      <c r="EU37" s="21"/>
      <c r="EV37" s="21"/>
      <c r="EW37" s="21"/>
      <c r="EX37" s="21"/>
      <c r="EY37" s="21"/>
      <c r="EZ37" s="21"/>
      <c r="FA37" s="21"/>
      <c r="FB37" s="21"/>
      <c r="FC37" s="21"/>
      <c r="FD37" s="21"/>
      <c r="FE37" s="21"/>
      <c r="FF37" s="21"/>
      <c r="FG37" s="21"/>
      <c r="FH37" s="21"/>
      <c r="FI37" s="21"/>
      <c r="FJ37" s="21"/>
      <c r="FK37" s="21"/>
      <c r="FL37" s="21"/>
      <c r="FM37" s="21"/>
      <c r="FN37" s="21"/>
      <c r="FO37" s="21"/>
      <c r="FP37" s="21"/>
      <c r="FQ37" s="21"/>
      <c r="FR37" s="21"/>
      <c r="FS37" s="21"/>
      <c r="FT37" s="21"/>
      <c r="FU37" s="21"/>
      <c r="FV37" s="21"/>
      <c r="FW37" s="21"/>
      <c r="FX37" s="21"/>
      <c r="FY37" s="21"/>
      <c r="FZ37" s="21"/>
      <c r="GA37" s="21"/>
      <c r="GB37" s="21"/>
      <c r="GC37" s="21"/>
      <c r="GD37" s="21"/>
      <c r="GE37" s="21"/>
      <c r="GF37" s="21"/>
      <c r="GG37" s="21"/>
      <c r="GH37" s="21"/>
      <c r="GI37" s="21"/>
      <c r="GJ37" s="21"/>
      <c r="GK37" s="21"/>
      <c r="GL37" s="21"/>
      <c r="GM37" s="21"/>
      <c r="GN37" s="21"/>
      <c r="GO37" s="21"/>
      <c r="GP37" s="21"/>
      <c r="GQ37" s="21"/>
      <c r="GR37" s="21"/>
      <c r="GS37" s="21"/>
      <c r="GT37" s="21"/>
      <c r="GU37" s="21"/>
      <c r="GV37" s="21"/>
      <c r="GW37" s="21"/>
      <c r="GX37" s="21"/>
      <c r="GY37" s="21"/>
      <c r="GZ37" s="21"/>
      <c r="HA37" s="21"/>
      <c r="HB37" s="21"/>
      <c r="HC37" s="21"/>
      <c r="HD37" s="21"/>
      <c r="HE37" s="21"/>
      <c r="HF37" s="21"/>
      <c r="HG37" s="21"/>
      <c r="HH37" s="21"/>
      <c r="HI37" s="21"/>
      <c r="HJ37" s="21"/>
      <c r="HK37" s="21"/>
      <c r="HL37" s="21"/>
      <c r="HM37" s="21"/>
      <c r="HN37" s="21"/>
      <c r="HO37" s="21"/>
      <c r="HP37" s="21"/>
      <c r="HQ37" s="21"/>
      <c r="HR37" s="21"/>
      <c r="HS37" s="21"/>
      <c r="HT37" s="21"/>
      <c r="HU37" s="21"/>
      <c r="HV37" s="21"/>
      <c r="HW37" s="21"/>
      <c r="HX37" s="21"/>
      <c r="HY37" s="21"/>
    </row>
    <row r="38" spans="1:233" ht="18.5" x14ac:dyDescent="0.45">
      <c r="A38" s="269" t="s">
        <v>68</v>
      </c>
      <c r="B38" s="242">
        <v>47132</v>
      </c>
      <c r="C38" s="242" t="s">
        <v>102</v>
      </c>
      <c r="D38" s="242">
        <v>1980</v>
      </c>
      <c r="E38" s="242" t="s">
        <v>102</v>
      </c>
      <c r="F38" s="242">
        <f t="shared" si="0"/>
        <v>49112</v>
      </c>
      <c r="G38" s="242" t="s">
        <v>102</v>
      </c>
      <c r="H38" s="242">
        <v>85111</v>
      </c>
      <c r="I38" s="242" t="s">
        <v>102</v>
      </c>
      <c r="J38" s="242">
        <f>2500-Page_26!C35</f>
        <v>2250</v>
      </c>
      <c r="K38" s="242" t="s">
        <v>102</v>
      </c>
      <c r="L38" s="242">
        <f t="shared" si="1"/>
        <v>87361</v>
      </c>
      <c r="M38" s="242" t="s">
        <v>102</v>
      </c>
      <c r="N38" s="242" t="s">
        <v>102</v>
      </c>
      <c r="O38" s="242">
        <v>10428</v>
      </c>
      <c r="P38" s="242" t="s">
        <v>102</v>
      </c>
      <c r="Q38" s="242">
        <f>7184-Page_26!D35</f>
        <v>6896.64</v>
      </c>
      <c r="R38" s="242" t="s">
        <v>102</v>
      </c>
      <c r="S38" s="242">
        <v>27197</v>
      </c>
      <c r="T38" s="70" t="s">
        <v>102</v>
      </c>
      <c r="U38" s="70" t="s">
        <v>102</v>
      </c>
      <c r="V38" s="20"/>
      <c r="W38" s="20"/>
      <c r="X38" s="20"/>
      <c r="Y38" s="20"/>
      <c r="Z38" s="20"/>
      <c r="AA38" s="20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CD38" s="21"/>
      <c r="CE38" s="21"/>
      <c r="CF38" s="21"/>
      <c r="CG38" s="21"/>
      <c r="CH38" s="21"/>
      <c r="CI38" s="21"/>
      <c r="CJ38" s="21"/>
      <c r="CK38" s="21"/>
      <c r="CL38" s="21"/>
      <c r="CM38" s="21"/>
      <c r="CN38" s="21"/>
      <c r="CO38" s="21"/>
      <c r="CP38" s="21"/>
      <c r="CQ38" s="21"/>
      <c r="CR38" s="21"/>
      <c r="CS38" s="21"/>
      <c r="CT38" s="21"/>
      <c r="CU38" s="21"/>
      <c r="CV38" s="21"/>
      <c r="CW38" s="21"/>
      <c r="CX38" s="21"/>
      <c r="CY38" s="21"/>
      <c r="CZ38" s="21"/>
      <c r="DA38" s="21"/>
      <c r="DB38" s="21"/>
      <c r="DC38" s="21"/>
      <c r="DD38" s="21"/>
      <c r="DE38" s="21"/>
      <c r="DF38" s="21"/>
      <c r="DG38" s="21"/>
      <c r="DH38" s="21"/>
      <c r="DI38" s="21"/>
      <c r="DJ38" s="21"/>
      <c r="DK38" s="21"/>
      <c r="DL38" s="21"/>
      <c r="DM38" s="21"/>
      <c r="DN38" s="21"/>
      <c r="DO38" s="21"/>
      <c r="DP38" s="21"/>
      <c r="DQ38" s="21"/>
      <c r="DR38" s="21"/>
      <c r="DS38" s="21"/>
      <c r="DT38" s="21"/>
      <c r="DU38" s="21"/>
      <c r="DV38" s="21"/>
      <c r="DW38" s="21"/>
      <c r="DX38" s="21"/>
      <c r="DY38" s="21"/>
      <c r="DZ38" s="21"/>
      <c r="EA38" s="21"/>
      <c r="EB38" s="21"/>
      <c r="EC38" s="21"/>
      <c r="ED38" s="21"/>
      <c r="EE38" s="21"/>
      <c r="EF38" s="21"/>
      <c r="EG38" s="21"/>
      <c r="EH38" s="21"/>
      <c r="EI38" s="21"/>
      <c r="EJ38" s="21"/>
      <c r="EK38" s="21"/>
      <c r="EL38" s="21"/>
      <c r="EM38" s="21"/>
      <c r="EN38" s="21"/>
      <c r="EO38" s="21"/>
      <c r="EP38" s="21"/>
      <c r="EQ38" s="21"/>
      <c r="ER38" s="21"/>
      <c r="ES38" s="21"/>
      <c r="ET38" s="21"/>
      <c r="EU38" s="21"/>
      <c r="EV38" s="21"/>
      <c r="EW38" s="21"/>
      <c r="EX38" s="21"/>
      <c r="EY38" s="21"/>
      <c r="EZ38" s="21"/>
      <c r="FA38" s="21"/>
      <c r="FB38" s="21"/>
      <c r="FC38" s="21"/>
      <c r="FD38" s="21"/>
      <c r="FE38" s="21"/>
      <c r="FF38" s="21"/>
      <c r="FG38" s="21"/>
      <c r="FH38" s="21"/>
      <c r="FI38" s="21"/>
      <c r="FJ38" s="21"/>
      <c r="FK38" s="21"/>
      <c r="FL38" s="21"/>
      <c r="FM38" s="21"/>
      <c r="FN38" s="21"/>
      <c r="FO38" s="21"/>
      <c r="FP38" s="21"/>
      <c r="FQ38" s="21"/>
      <c r="FR38" s="21"/>
      <c r="FS38" s="21"/>
      <c r="FT38" s="21"/>
      <c r="FU38" s="21"/>
      <c r="FV38" s="21"/>
      <c r="FW38" s="21"/>
      <c r="FX38" s="21"/>
      <c r="FY38" s="21"/>
      <c r="FZ38" s="21"/>
      <c r="GA38" s="21"/>
      <c r="GB38" s="21"/>
      <c r="GC38" s="21"/>
      <c r="GD38" s="21"/>
      <c r="GE38" s="21"/>
      <c r="GF38" s="21"/>
      <c r="GG38" s="21"/>
      <c r="GH38" s="21"/>
      <c r="GI38" s="21"/>
      <c r="GJ38" s="21"/>
      <c r="GK38" s="21"/>
      <c r="GL38" s="21"/>
      <c r="GM38" s="21"/>
      <c r="GN38" s="21"/>
      <c r="GO38" s="21"/>
      <c r="GP38" s="21"/>
      <c r="GQ38" s="21"/>
      <c r="GR38" s="21"/>
      <c r="GS38" s="21"/>
      <c r="GT38" s="21"/>
      <c r="GU38" s="21"/>
      <c r="GV38" s="21"/>
      <c r="GW38" s="21"/>
      <c r="GX38" s="21"/>
      <c r="GY38" s="21"/>
      <c r="GZ38" s="21"/>
      <c r="HA38" s="21"/>
      <c r="HB38" s="21"/>
      <c r="HC38" s="21"/>
      <c r="HD38" s="21"/>
      <c r="HE38" s="21"/>
      <c r="HF38" s="21"/>
      <c r="HG38" s="21"/>
      <c r="HH38" s="21"/>
      <c r="HI38" s="21"/>
      <c r="HJ38" s="21"/>
      <c r="HK38" s="21"/>
      <c r="HL38" s="21"/>
      <c r="HM38" s="21"/>
      <c r="HN38" s="21"/>
      <c r="HO38" s="21"/>
      <c r="HP38" s="21"/>
      <c r="HQ38" s="21"/>
      <c r="HR38" s="21"/>
      <c r="HS38" s="21"/>
      <c r="HT38" s="21"/>
      <c r="HU38" s="21"/>
      <c r="HV38" s="21"/>
      <c r="HW38" s="21"/>
      <c r="HX38" s="21"/>
      <c r="HY38" s="21"/>
    </row>
    <row r="39" spans="1:233" ht="18.5" x14ac:dyDescent="0.45">
      <c r="A39" s="269" t="s">
        <v>69</v>
      </c>
      <c r="B39" s="242">
        <v>40704</v>
      </c>
      <c r="C39" s="242" t="s">
        <v>102</v>
      </c>
      <c r="D39" s="242">
        <v>8105</v>
      </c>
      <c r="E39" s="242" t="s">
        <v>102</v>
      </c>
      <c r="F39" s="242">
        <f>SUM(B39:D39)</f>
        <v>48809</v>
      </c>
      <c r="G39" s="242" t="s">
        <v>102</v>
      </c>
      <c r="H39" s="242">
        <v>103423</v>
      </c>
      <c r="I39" s="242" t="s">
        <v>102</v>
      </c>
      <c r="J39" s="242">
        <f>15589-Page_26!C36</f>
        <v>14030.1</v>
      </c>
      <c r="K39" s="242" t="s">
        <v>102</v>
      </c>
      <c r="L39" s="242">
        <f>SUM(H39:J39)</f>
        <v>117453.1</v>
      </c>
      <c r="M39" s="242" t="s">
        <v>102</v>
      </c>
      <c r="N39" s="242" t="s">
        <v>102</v>
      </c>
      <c r="O39" s="242">
        <v>8972</v>
      </c>
      <c r="P39" s="242" t="s">
        <v>102</v>
      </c>
      <c r="Q39" s="242">
        <f>7054-Page_26!D36</f>
        <v>6771.84</v>
      </c>
      <c r="R39" s="242" t="s">
        <v>102</v>
      </c>
      <c r="S39" s="242">
        <v>29726</v>
      </c>
      <c r="T39" s="70" t="s">
        <v>102</v>
      </c>
      <c r="U39" s="70" t="s">
        <v>102</v>
      </c>
      <c r="V39" s="20"/>
      <c r="W39" s="20"/>
      <c r="X39" s="20"/>
      <c r="Y39" s="20"/>
      <c r="Z39" s="20"/>
      <c r="AA39" s="20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CD39" s="21"/>
      <c r="CE39" s="21"/>
      <c r="CF39" s="21"/>
      <c r="CG39" s="21"/>
      <c r="CH39" s="21"/>
      <c r="CI39" s="21"/>
      <c r="CJ39" s="21"/>
      <c r="CK39" s="21"/>
      <c r="CL39" s="21"/>
      <c r="CM39" s="21"/>
      <c r="CN39" s="21"/>
      <c r="CO39" s="21"/>
      <c r="CP39" s="21"/>
      <c r="CQ39" s="21"/>
      <c r="CR39" s="21"/>
      <c r="CS39" s="21"/>
      <c r="CT39" s="21"/>
      <c r="CU39" s="21"/>
      <c r="CV39" s="21"/>
      <c r="CW39" s="21"/>
      <c r="CX39" s="21"/>
      <c r="CY39" s="21"/>
      <c r="CZ39" s="21"/>
      <c r="DA39" s="21"/>
      <c r="DB39" s="21"/>
      <c r="DC39" s="21"/>
      <c r="DD39" s="21"/>
      <c r="DE39" s="21"/>
      <c r="DF39" s="21"/>
      <c r="DG39" s="21"/>
      <c r="DH39" s="21"/>
      <c r="DI39" s="21"/>
      <c r="DJ39" s="21"/>
      <c r="DK39" s="21"/>
      <c r="DL39" s="21"/>
      <c r="DM39" s="21"/>
      <c r="DN39" s="21"/>
      <c r="DO39" s="21"/>
      <c r="DP39" s="21"/>
      <c r="DQ39" s="21"/>
      <c r="DR39" s="21"/>
      <c r="DS39" s="21"/>
      <c r="DT39" s="21"/>
      <c r="DU39" s="21"/>
      <c r="DV39" s="21"/>
      <c r="DW39" s="21"/>
      <c r="DX39" s="21"/>
      <c r="DY39" s="21"/>
      <c r="DZ39" s="21"/>
      <c r="EA39" s="21"/>
      <c r="EB39" s="21"/>
      <c r="EC39" s="21"/>
      <c r="ED39" s="21"/>
      <c r="EE39" s="21"/>
      <c r="EF39" s="21"/>
      <c r="EG39" s="21"/>
      <c r="EH39" s="21"/>
      <c r="EI39" s="21"/>
      <c r="EJ39" s="21"/>
      <c r="EK39" s="21"/>
      <c r="EL39" s="21"/>
      <c r="EM39" s="21"/>
      <c r="EN39" s="21"/>
      <c r="EO39" s="21"/>
      <c r="EP39" s="21"/>
      <c r="EQ39" s="21"/>
      <c r="ER39" s="21"/>
      <c r="ES39" s="21"/>
      <c r="ET39" s="21"/>
      <c r="EU39" s="21"/>
      <c r="EV39" s="21"/>
      <c r="EW39" s="21"/>
      <c r="EX39" s="21"/>
      <c r="EY39" s="21"/>
      <c r="EZ39" s="21"/>
      <c r="FA39" s="21"/>
      <c r="FB39" s="21"/>
      <c r="FC39" s="21"/>
      <c r="FD39" s="21"/>
      <c r="FE39" s="21"/>
      <c r="FF39" s="21"/>
      <c r="FG39" s="21"/>
      <c r="FH39" s="21"/>
      <c r="FI39" s="21"/>
      <c r="FJ39" s="21"/>
      <c r="FK39" s="21"/>
      <c r="FL39" s="21"/>
      <c r="FM39" s="21"/>
      <c r="FN39" s="21"/>
      <c r="FO39" s="21"/>
      <c r="FP39" s="21"/>
      <c r="FQ39" s="21"/>
      <c r="FR39" s="21"/>
      <c r="FS39" s="21"/>
      <c r="FT39" s="21"/>
      <c r="FU39" s="21"/>
      <c r="FV39" s="21"/>
      <c r="FW39" s="21"/>
      <c r="FX39" s="21"/>
      <c r="FY39" s="21"/>
      <c r="FZ39" s="21"/>
      <c r="GA39" s="21"/>
      <c r="GB39" s="21"/>
      <c r="GC39" s="21"/>
      <c r="GD39" s="21"/>
      <c r="GE39" s="21"/>
      <c r="GF39" s="21"/>
      <c r="GG39" s="21"/>
      <c r="GH39" s="21"/>
      <c r="GI39" s="21"/>
      <c r="GJ39" s="21"/>
      <c r="GK39" s="21"/>
      <c r="GL39" s="21"/>
      <c r="GM39" s="21"/>
      <c r="GN39" s="21"/>
      <c r="GO39" s="21"/>
      <c r="GP39" s="21"/>
      <c r="GQ39" s="21"/>
      <c r="GR39" s="21"/>
      <c r="GS39" s="21"/>
      <c r="GT39" s="21"/>
      <c r="GU39" s="21"/>
      <c r="GV39" s="21"/>
      <c r="GW39" s="21"/>
      <c r="GX39" s="21"/>
      <c r="GY39" s="21"/>
      <c r="GZ39" s="21"/>
      <c r="HA39" s="21"/>
      <c r="HB39" s="21"/>
      <c r="HC39" s="21"/>
      <c r="HD39" s="21"/>
      <c r="HE39" s="21"/>
      <c r="HF39" s="21"/>
      <c r="HG39" s="21"/>
      <c r="HH39" s="21"/>
      <c r="HI39" s="21"/>
      <c r="HJ39" s="21"/>
      <c r="HK39" s="21"/>
      <c r="HL39" s="21"/>
      <c r="HM39" s="21"/>
      <c r="HN39" s="21"/>
      <c r="HO39" s="21"/>
      <c r="HP39" s="21"/>
      <c r="HQ39" s="21"/>
      <c r="HR39" s="21"/>
      <c r="HS39" s="21"/>
      <c r="HT39" s="21"/>
      <c r="HU39" s="21"/>
      <c r="HV39" s="21"/>
      <c r="HW39" s="21"/>
      <c r="HX39" s="21"/>
      <c r="HY39" s="21"/>
    </row>
    <row r="40" spans="1:233" ht="18.5" x14ac:dyDescent="0.45">
      <c r="A40" s="270" t="s">
        <v>70</v>
      </c>
      <c r="B40" s="242">
        <v>57425</v>
      </c>
      <c r="C40" s="242" t="s">
        <v>102</v>
      </c>
      <c r="D40" s="242">
        <v>17103</v>
      </c>
      <c r="E40" s="242" t="s">
        <v>102</v>
      </c>
      <c r="F40" s="242">
        <f>SUM(B40:D40)</f>
        <v>74528</v>
      </c>
      <c r="G40" s="242" t="s">
        <v>102</v>
      </c>
      <c r="H40" s="242">
        <v>93773</v>
      </c>
      <c r="I40" s="242" t="s">
        <v>102</v>
      </c>
      <c r="J40" s="242">
        <f>26755-Page_26!C37</f>
        <v>24079.5</v>
      </c>
      <c r="K40" s="242" t="s">
        <v>102</v>
      </c>
      <c r="L40" s="242">
        <f>SUM(H40:J40)</f>
        <v>117852.5</v>
      </c>
      <c r="M40" s="242" t="s">
        <v>102</v>
      </c>
      <c r="N40" s="242" t="s">
        <v>102</v>
      </c>
      <c r="O40" s="242">
        <v>10844</v>
      </c>
      <c r="P40" s="242" t="s">
        <v>102</v>
      </c>
      <c r="Q40" s="242">
        <f>7694-Page_26!D37</f>
        <v>7386.24</v>
      </c>
      <c r="R40" s="242" t="s">
        <v>102</v>
      </c>
      <c r="S40" s="242">
        <v>27043</v>
      </c>
      <c r="T40" s="70" t="s">
        <v>102</v>
      </c>
      <c r="U40" s="70" t="s">
        <v>102</v>
      </c>
      <c r="V40" s="20"/>
      <c r="W40" s="20"/>
      <c r="X40" s="20"/>
      <c r="Y40" s="20"/>
      <c r="Z40" s="20"/>
      <c r="AA40" s="20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CD40" s="21"/>
      <c r="CE40" s="21"/>
      <c r="CF40" s="21"/>
      <c r="CG40" s="21"/>
      <c r="CH40" s="21"/>
      <c r="CI40" s="21"/>
      <c r="CJ40" s="21"/>
      <c r="CK40" s="21"/>
      <c r="CL40" s="21"/>
      <c r="CM40" s="21"/>
      <c r="CN40" s="21"/>
      <c r="CO40" s="21"/>
      <c r="CP40" s="21"/>
      <c r="CQ40" s="21"/>
      <c r="CR40" s="21"/>
      <c r="CS40" s="21"/>
      <c r="CT40" s="21"/>
      <c r="CU40" s="21"/>
      <c r="CV40" s="21"/>
      <c r="CW40" s="21"/>
      <c r="CX40" s="21"/>
      <c r="CY40" s="21"/>
      <c r="CZ40" s="21"/>
      <c r="DA40" s="21"/>
      <c r="DB40" s="21"/>
      <c r="DC40" s="21"/>
      <c r="DD40" s="21"/>
      <c r="DE40" s="21"/>
      <c r="DF40" s="21"/>
      <c r="DG40" s="21"/>
      <c r="DH40" s="21"/>
      <c r="DI40" s="21"/>
      <c r="DJ40" s="21"/>
      <c r="DK40" s="21"/>
      <c r="DL40" s="21"/>
      <c r="DM40" s="21"/>
      <c r="DN40" s="21"/>
      <c r="DO40" s="21"/>
      <c r="DP40" s="21"/>
      <c r="DQ40" s="21"/>
      <c r="DR40" s="21"/>
      <c r="DS40" s="21"/>
      <c r="DT40" s="21"/>
      <c r="DU40" s="21"/>
      <c r="DV40" s="21"/>
      <c r="DW40" s="21"/>
      <c r="DX40" s="21"/>
      <c r="DY40" s="21"/>
      <c r="DZ40" s="21"/>
      <c r="EA40" s="21"/>
      <c r="EB40" s="21"/>
      <c r="EC40" s="21"/>
      <c r="ED40" s="21"/>
      <c r="EE40" s="21"/>
      <c r="EF40" s="21"/>
      <c r="EG40" s="21"/>
      <c r="EH40" s="21"/>
      <c r="EI40" s="21"/>
      <c r="EJ40" s="21"/>
      <c r="EK40" s="21"/>
      <c r="EL40" s="21"/>
      <c r="EM40" s="21"/>
      <c r="EN40" s="21"/>
      <c r="EO40" s="21"/>
      <c r="EP40" s="21"/>
      <c r="EQ40" s="21"/>
      <c r="ER40" s="21"/>
      <c r="ES40" s="21"/>
      <c r="ET40" s="21"/>
      <c r="EU40" s="21"/>
      <c r="EV40" s="21"/>
      <c r="EW40" s="21"/>
      <c r="EX40" s="21"/>
      <c r="EY40" s="21"/>
      <c r="EZ40" s="21"/>
      <c r="FA40" s="21"/>
      <c r="FB40" s="21"/>
      <c r="FC40" s="21"/>
      <c r="FD40" s="21"/>
      <c r="FE40" s="21"/>
      <c r="FF40" s="21"/>
      <c r="FG40" s="21"/>
      <c r="FH40" s="21"/>
      <c r="FI40" s="21"/>
      <c r="FJ40" s="21"/>
      <c r="FK40" s="21"/>
      <c r="FL40" s="21"/>
      <c r="FM40" s="21"/>
      <c r="FN40" s="21"/>
      <c r="FO40" s="21"/>
      <c r="FP40" s="21"/>
      <c r="FQ40" s="21"/>
      <c r="FR40" s="21"/>
      <c r="FS40" s="21"/>
      <c r="FT40" s="21"/>
      <c r="FU40" s="21"/>
      <c r="FV40" s="21"/>
      <c r="FW40" s="21"/>
      <c r="FX40" s="21"/>
      <c r="FY40" s="21"/>
      <c r="FZ40" s="21"/>
      <c r="GA40" s="21"/>
      <c r="GB40" s="21"/>
      <c r="GC40" s="21"/>
      <c r="GD40" s="21"/>
      <c r="GE40" s="21"/>
      <c r="GF40" s="21"/>
      <c r="GG40" s="21"/>
      <c r="GH40" s="21"/>
      <c r="GI40" s="21"/>
      <c r="GJ40" s="21"/>
      <c r="GK40" s="21"/>
      <c r="GL40" s="21"/>
      <c r="GM40" s="21"/>
      <c r="GN40" s="21"/>
      <c r="GO40" s="21"/>
      <c r="GP40" s="21"/>
      <c r="GQ40" s="21"/>
      <c r="GR40" s="21"/>
      <c r="GS40" s="21"/>
      <c r="GT40" s="21"/>
      <c r="GU40" s="21"/>
      <c r="GV40" s="21"/>
      <c r="GW40" s="21"/>
      <c r="GX40" s="21"/>
      <c r="GY40" s="21"/>
      <c r="GZ40" s="21"/>
      <c r="HA40" s="21"/>
      <c r="HB40" s="21"/>
      <c r="HC40" s="21"/>
      <c r="HD40" s="21"/>
      <c r="HE40" s="21"/>
      <c r="HF40" s="21"/>
      <c r="HG40" s="21"/>
      <c r="HH40" s="21"/>
      <c r="HI40" s="21"/>
      <c r="HJ40" s="21"/>
      <c r="HK40" s="21"/>
      <c r="HL40" s="21"/>
      <c r="HM40" s="21"/>
      <c r="HN40" s="21"/>
      <c r="HO40" s="21"/>
      <c r="HP40" s="21"/>
      <c r="HQ40" s="21"/>
      <c r="HR40" s="21"/>
      <c r="HS40" s="21"/>
      <c r="HT40" s="21"/>
      <c r="HU40" s="21"/>
      <c r="HV40" s="21"/>
      <c r="HW40" s="21"/>
      <c r="HX40" s="21"/>
      <c r="HY40" s="21"/>
    </row>
    <row r="41" spans="1:233" ht="18.5" x14ac:dyDescent="0.45">
      <c r="A41" s="269" t="s">
        <v>71</v>
      </c>
      <c r="B41" s="242">
        <v>42769</v>
      </c>
      <c r="C41" s="242" t="s">
        <v>102</v>
      </c>
      <c r="D41" s="242">
        <v>15541</v>
      </c>
      <c r="E41" s="242" t="s">
        <v>102</v>
      </c>
      <c r="F41" s="242">
        <f>SUM(B41:D41)</f>
        <v>58310</v>
      </c>
      <c r="G41" s="242" t="s">
        <v>102</v>
      </c>
      <c r="H41" s="242">
        <v>67095</v>
      </c>
      <c r="I41" s="242" t="s">
        <v>102</v>
      </c>
      <c r="J41" s="242">
        <v>68230.8</v>
      </c>
      <c r="K41" s="242" t="s">
        <v>102</v>
      </c>
      <c r="L41" s="242">
        <f>SUM(H41:J41)</f>
        <v>135325.79999999999</v>
      </c>
      <c r="M41" s="242" t="s">
        <v>102</v>
      </c>
      <c r="N41" s="242" t="s">
        <v>102</v>
      </c>
      <c r="O41" s="242">
        <v>10791</v>
      </c>
      <c r="P41" s="242" t="s">
        <v>102</v>
      </c>
      <c r="Q41" s="242">
        <f>7149-Page_26!D38</f>
        <v>6863.04</v>
      </c>
      <c r="R41" s="242" t="s">
        <v>102</v>
      </c>
      <c r="S41" s="242">
        <v>26390</v>
      </c>
      <c r="T41" s="70" t="s">
        <v>102</v>
      </c>
      <c r="U41" s="70" t="s">
        <v>102</v>
      </c>
      <c r="V41" s="20"/>
      <c r="W41" s="20"/>
      <c r="X41" s="20"/>
      <c r="Y41" s="20"/>
      <c r="Z41" s="20"/>
      <c r="AA41" s="20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CC41" s="21"/>
      <c r="CD41" s="21"/>
      <c r="CE41" s="21"/>
      <c r="CF41" s="21"/>
      <c r="CG41" s="21"/>
      <c r="CH41" s="21"/>
      <c r="CI41" s="21"/>
      <c r="CJ41" s="21"/>
      <c r="CK41" s="21"/>
      <c r="CL41" s="21"/>
      <c r="CM41" s="21"/>
      <c r="CN41" s="21"/>
      <c r="CO41" s="21"/>
      <c r="CP41" s="21"/>
      <c r="CQ41" s="21"/>
      <c r="CR41" s="21"/>
      <c r="CS41" s="21"/>
      <c r="CT41" s="21"/>
      <c r="CU41" s="21"/>
      <c r="CV41" s="21"/>
      <c r="CW41" s="21"/>
      <c r="CX41" s="21"/>
      <c r="CY41" s="21"/>
      <c r="CZ41" s="21"/>
      <c r="DA41" s="21"/>
      <c r="DB41" s="21"/>
      <c r="DC41" s="21"/>
      <c r="DD41" s="21"/>
      <c r="DE41" s="21"/>
      <c r="DF41" s="21"/>
      <c r="DG41" s="21"/>
      <c r="DH41" s="21"/>
      <c r="DI41" s="21"/>
      <c r="DJ41" s="21"/>
      <c r="DK41" s="21"/>
      <c r="DL41" s="21"/>
      <c r="DM41" s="21"/>
      <c r="DN41" s="21"/>
      <c r="DO41" s="21"/>
      <c r="DP41" s="21"/>
      <c r="DQ41" s="21"/>
      <c r="DR41" s="21"/>
      <c r="DS41" s="21"/>
      <c r="DT41" s="21"/>
      <c r="DU41" s="21"/>
      <c r="DV41" s="21"/>
      <c r="DW41" s="21"/>
      <c r="DX41" s="21"/>
      <c r="DY41" s="21"/>
      <c r="DZ41" s="21"/>
      <c r="EA41" s="21"/>
      <c r="EB41" s="21"/>
      <c r="EC41" s="21"/>
      <c r="ED41" s="21"/>
      <c r="EE41" s="21"/>
      <c r="EF41" s="21"/>
      <c r="EG41" s="21"/>
      <c r="EH41" s="21"/>
      <c r="EI41" s="21"/>
      <c r="EJ41" s="21"/>
      <c r="EK41" s="21"/>
      <c r="EL41" s="21"/>
      <c r="EM41" s="21"/>
      <c r="EN41" s="21"/>
      <c r="EO41" s="21"/>
      <c r="EP41" s="21"/>
      <c r="EQ41" s="21"/>
      <c r="ER41" s="21"/>
      <c r="ES41" s="21"/>
      <c r="ET41" s="21"/>
      <c r="EU41" s="21"/>
      <c r="EV41" s="21"/>
      <c r="EW41" s="21"/>
      <c r="EX41" s="21"/>
      <c r="EY41" s="21"/>
      <c r="EZ41" s="21"/>
      <c r="FA41" s="21"/>
      <c r="FB41" s="21"/>
      <c r="FC41" s="21"/>
      <c r="FD41" s="21"/>
      <c r="FE41" s="21"/>
      <c r="FF41" s="21"/>
      <c r="FG41" s="21"/>
      <c r="FH41" s="21"/>
      <c r="FI41" s="21"/>
      <c r="FJ41" s="21"/>
      <c r="FK41" s="21"/>
      <c r="FL41" s="21"/>
      <c r="FM41" s="21"/>
      <c r="FN41" s="21"/>
      <c r="FO41" s="21"/>
      <c r="FP41" s="21"/>
      <c r="FQ41" s="21"/>
      <c r="FR41" s="21"/>
      <c r="FS41" s="21"/>
      <c r="FT41" s="21"/>
      <c r="FU41" s="21"/>
      <c r="FV41" s="21"/>
      <c r="FW41" s="21"/>
      <c r="FX41" s="21"/>
      <c r="FY41" s="21"/>
      <c r="FZ41" s="21"/>
      <c r="GA41" s="21"/>
      <c r="GB41" s="21"/>
      <c r="GC41" s="21"/>
      <c r="GD41" s="21"/>
      <c r="GE41" s="21"/>
      <c r="GF41" s="21"/>
      <c r="GG41" s="21"/>
      <c r="GH41" s="21"/>
      <c r="GI41" s="21"/>
      <c r="GJ41" s="21"/>
      <c r="GK41" s="21"/>
      <c r="GL41" s="21"/>
      <c r="GM41" s="21"/>
      <c r="GN41" s="21"/>
      <c r="GO41" s="21"/>
      <c r="GP41" s="21"/>
      <c r="GQ41" s="21"/>
      <c r="GR41" s="21"/>
      <c r="GS41" s="21"/>
      <c r="GT41" s="21"/>
      <c r="GU41" s="21"/>
      <c r="GV41" s="21"/>
      <c r="GW41" s="21"/>
      <c r="GX41" s="21"/>
      <c r="GY41" s="21"/>
      <c r="GZ41" s="21"/>
      <c r="HA41" s="21"/>
      <c r="HB41" s="21"/>
      <c r="HC41" s="21"/>
      <c r="HD41" s="21"/>
      <c r="HE41" s="21"/>
      <c r="HF41" s="21"/>
      <c r="HG41" s="21"/>
      <c r="HH41" s="21"/>
      <c r="HI41" s="21"/>
      <c r="HJ41" s="21"/>
      <c r="HK41" s="21"/>
      <c r="HL41" s="21"/>
      <c r="HM41" s="21"/>
      <c r="HN41" s="21"/>
      <c r="HO41" s="21"/>
      <c r="HP41" s="21"/>
      <c r="HQ41" s="21"/>
      <c r="HR41" s="21"/>
      <c r="HS41" s="21"/>
      <c r="HT41" s="21"/>
      <c r="HU41" s="21"/>
      <c r="HV41" s="21"/>
      <c r="HW41" s="21"/>
      <c r="HX41" s="21"/>
      <c r="HY41" s="21"/>
    </row>
    <row r="42" spans="1:233" ht="18.5" x14ac:dyDescent="0.45">
      <c r="A42" s="269" t="s">
        <v>72</v>
      </c>
      <c r="B42" s="242">
        <v>36697</v>
      </c>
      <c r="C42" s="242" t="s">
        <v>102</v>
      </c>
      <c r="D42" s="242">
        <v>145</v>
      </c>
      <c r="E42" s="242" t="s">
        <v>102</v>
      </c>
      <c r="F42" s="242">
        <f>SUM(B42:D42)</f>
        <v>36842</v>
      </c>
      <c r="G42" s="242" t="s">
        <v>102</v>
      </c>
      <c r="H42" s="242">
        <v>90874</v>
      </c>
      <c r="I42" s="242" t="s">
        <v>102</v>
      </c>
      <c r="J42" s="243">
        <v>0</v>
      </c>
      <c r="K42" s="242" t="s">
        <v>102</v>
      </c>
      <c r="L42" s="242">
        <f>SUM(H42:J42)</f>
        <v>90874</v>
      </c>
      <c r="M42" s="242" t="s">
        <v>102</v>
      </c>
      <c r="N42" s="242" t="s">
        <v>102</v>
      </c>
      <c r="O42" s="242">
        <v>5377</v>
      </c>
      <c r="P42" s="242" t="s">
        <v>102</v>
      </c>
      <c r="Q42" s="242">
        <f>4673-Page_26!D39</f>
        <v>4486.08</v>
      </c>
      <c r="R42" s="242" t="s">
        <v>102</v>
      </c>
      <c r="S42" s="242">
        <v>19257</v>
      </c>
      <c r="T42" s="70" t="s">
        <v>102</v>
      </c>
      <c r="U42" s="70" t="s">
        <v>102</v>
      </c>
      <c r="V42" s="20"/>
      <c r="W42" s="20"/>
      <c r="X42" s="20"/>
      <c r="Y42" s="20"/>
      <c r="Z42" s="20"/>
      <c r="AA42" s="20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  <c r="AO42" s="21"/>
      <c r="AP42" s="21"/>
      <c r="AQ42" s="21"/>
      <c r="AR42" s="21"/>
      <c r="AS42" s="21"/>
      <c r="AT42" s="21"/>
      <c r="AU42" s="21"/>
      <c r="AV42" s="21"/>
      <c r="AW42" s="21"/>
      <c r="AX42" s="21"/>
      <c r="AY42" s="21"/>
      <c r="AZ42" s="21"/>
      <c r="BA42" s="21"/>
      <c r="BB42" s="21"/>
      <c r="BC42" s="21"/>
      <c r="BD42" s="21"/>
      <c r="BE42" s="21"/>
      <c r="BF42" s="21"/>
      <c r="BG42" s="21"/>
      <c r="BH42" s="21"/>
      <c r="BI42" s="21"/>
      <c r="BJ42" s="21"/>
      <c r="BK42" s="21"/>
      <c r="BL42" s="21"/>
      <c r="BM42" s="21"/>
      <c r="BN42" s="21"/>
      <c r="BO42" s="21"/>
      <c r="BP42" s="21"/>
      <c r="BQ42" s="21"/>
      <c r="BR42" s="21"/>
      <c r="BS42" s="21"/>
      <c r="BT42" s="21"/>
      <c r="BU42" s="21"/>
      <c r="BV42" s="21"/>
      <c r="BW42" s="21"/>
      <c r="BX42" s="21"/>
      <c r="BY42" s="21"/>
      <c r="BZ42" s="21"/>
      <c r="CA42" s="21"/>
      <c r="CB42" s="21"/>
      <c r="CC42" s="21"/>
      <c r="CD42" s="21"/>
      <c r="CE42" s="21"/>
      <c r="CF42" s="21"/>
      <c r="CG42" s="21"/>
      <c r="CH42" s="21"/>
      <c r="CI42" s="21"/>
      <c r="CJ42" s="21"/>
      <c r="CK42" s="21"/>
      <c r="CL42" s="21"/>
      <c r="CM42" s="21"/>
      <c r="CN42" s="21"/>
      <c r="CO42" s="21"/>
      <c r="CP42" s="21"/>
      <c r="CQ42" s="21"/>
      <c r="CR42" s="21"/>
      <c r="CS42" s="21"/>
      <c r="CT42" s="21"/>
      <c r="CU42" s="21"/>
      <c r="CV42" s="21"/>
      <c r="CW42" s="21"/>
      <c r="CX42" s="21"/>
      <c r="CY42" s="21"/>
      <c r="CZ42" s="21"/>
      <c r="DA42" s="21"/>
      <c r="DB42" s="21"/>
      <c r="DC42" s="21"/>
      <c r="DD42" s="21"/>
      <c r="DE42" s="21"/>
      <c r="DF42" s="21"/>
      <c r="DG42" s="21"/>
      <c r="DH42" s="21"/>
      <c r="DI42" s="21"/>
      <c r="DJ42" s="21"/>
      <c r="DK42" s="21"/>
      <c r="DL42" s="21"/>
      <c r="DM42" s="21"/>
      <c r="DN42" s="21"/>
      <c r="DO42" s="21"/>
      <c r="DP42" s="21"/>
      <c r="DQ42" s="21"/>
      <c r="DR42" s="21"/>
      <c r="DS42" s="21"/>
      <c r="DT42" s="21"/>
      <c r="DU42" s="21"/>
      <c r="DV42" s="21"/>
      <c r="DW42" s="21"/>
      <c r="DX42" s="21"/>
      <c r="DY42" s="21"/>
      <c r="DZ42" s="21"/>
      <c r="EA42" s="21"/>
      <c r="EB42" s="21"/>
      <c r="EC42" s="21"/>
      <c r="ED42" s="21"/>
      <c r="EE42" s="21"/>
      <c r="EF42" s="21"/>
      <c r="EG42" s="21"/>
      <c r="EH42" s="21"/>
      <c r="EI42" s="21"/>
      <c r="EJ42" s="21"/>
      <c r="EK42" s="21"/>
      <c r="EL42" s="21"/>
      <c r="EM42" s="21"/>
      <c r="EN42" s="21"/>
      <c r="EO42" s="21"/>
      <c r="EP42" s="21"/>
      <c r="EQ42" s="21"/>
      <c r="ER42" s="21"/>
      <c r="ES42" s="21"/>
      <c r="ET42" s="21"/>
      <c r="EU42" s="21"/>
      <c r="EV42" s="21"/>
      <c r="EW42" s="21"/>
      <c r="EX42" s="21"/>
      <c r="EY42" s="21"/>
      <c r="EZ42" s="21"/>
      <c r="FA42" s="21"/>
      <c r="FB42" s="21"/>
      <c r="FC42" s="21"/>
      <c r="FD42" s="21"/>
      <c r="FE42" s="21"/>
      <c r="FF42" s="21"/>
      <c r="FG42" s="21"/>
      <c r="FH42" s="21"/>
      <c r="FI42" s="21"/>
      <c r="FJ42" s="21"/>
      <c r="FK42" s="21"/>
      <c r="FL42" s="21"/>
      <c r="FM42" s="21"/>
      <c r="FN42" s="21"/>
      <c r="FO42" s="21"/>
      <c r="FP42" s="21"/>
      <c r="FQ42" s="21"/>
      <c r="FR42" s="21"/>
      <c r="FS42" s="21"/>
      <c r="FT42" s="21"/>
      <c r="FU42" s="21"/>
      <c r="FV42" s="21"/>
      <c r="FW42" s="21"/>
      <c r="FX42" s="21"/>
      <c r="FY42" s="21"/>
      <c r="FZ42" s="21"/>
      <c r="GA42" s="21"/>
      <c r="GB42" s="21"/>
      <c r="GC42" s="21"/>
      <c r="GD42" s="21"/>
      <c r="GE42" s="21"/>
      <c r="GF42" s="21"/>
      <c r="GG42" s="21"/>
      <c r="GH42" s="21"/>
      <c r="GI42" s="21"/>
      <c r="GJ42" s="21"/>
      <c r="GK42" s="21"/>
      <c r="GL42" s="21"/>
      <c r="GM42" s="21"/>
      <c r="GN42" s="21"/>
      <c r="GO42" s="21"/>
      <c r="GP42" s="21"/>
      <c r="GQ42" s="21"/>
      <c r="GR42" s="21"/>
      <c r="GS42" s="21"/>
      <c r="GT42" s="21"/>
      <c r="GU42" s="21"/>
      <c r="GV42" s="21"/>
      <c r="GW42" s="21"/>
      <c r="GX42" s="21"/>
      <c r="GY42" s="21"/>
      <c r="GZ42" s="21"/>
      <c r="HA42" s="21"/>
      <c r="HB42" s="21"/>
      <c r="HC42" s="21"/>
      <c r="HD42" s="21"/>
      <c r="HE42" s="21"/>
      <c r="HF42" s="21"/>
      <c r="HG42" s="21"/>
      <c r="HH42" s="21"/>
      <c r="HI42" s="21"/>
      <c r="HJ42" s="21"/>
      <c r="HK42" s="21"/>
      <c r="HL42" s="21"/>
      <c r="HM42" s="21"/>
      <c r="HN42" s="21"/>
      <c r="HO42" s="21"/>
      <c r="HP42" s="21"/>
      <c r="HQ42" s="21"/>
      <c r="HR42" s="21"/>
      <c r="HS42" s="21"/>
      <c r="HT42" s="21"/>
      <c r="HU42" s="21"/>
      <c r="HV42" s="21"/>
      <c r="HW42" s="21"/>
      <c r="HX42" s="21"/>
      <c r="HY42" s="21"/>
    </row>
    <row r="43" spans="1:233" ht="18.5" x14ac:dyDescent="0.45">
      <c r="A43" s="269" t="s">
        <v>73</v>
      </c>
      <c r="B43" s="242">
        <v>38300</v>
      </c>
      <c r="C43" s="242" t="s">
        <v>102</v>
      </c>
      <c r="D43" s="243">
        <v>0</v>
      </c>
      <c r="E43" s="242" t="s">
        <v>102</v>
      </c>
      <c r="F43" s="242">
        <f t="shared" ref="F43:F62" si="2">SUM(B43:D43)</f>
        <v>38300</v>
      </c>
      <c r="G43" s="242" t="s">
        <v>102</v>
      </c>
      <c r="H43" s="242">
        <v>63588</v>
      </c>
      <c r="I43" s="242" t="s">
        <v>102</v>
      </c>
      <c r="J43" s="243">
        <v>0</v>
      </c>
      <c r="K43" s="242" t="s">
        <v>102</v>
      </c>
      <c r="L43" s="242">
        <f t="shared" ref="L43:L60" si="3">SUM(H43:J43)</f>
        <v>63588</v>
      </c>
      <c r="M43" s="242" t="s">
        <v>102</v>
      </c>
      <c r="N43" s="242" t="s">
        <v>102</v>
      </c>
      <c r="O43" s="242">
        <v>7103</v>
      </c>
      <c r="P43" s="242" t="s">
        <v>102</v>
      </c>
      <c r="Q43" s="242">
        <v>4171.2</v>
      </c>
      <c r="R43" s="242" t="s">
        <v>102</v>
      </c>
      <c r="S43" s="242">
        <v>16568</v>
      </c>
      <c r="T43" s="70" t="s">
        <v>102</v>
      </c>
      <c r="U43" s="70" t="s">
        <v>102</v>
      </c>
      <c r="V43" s="20"/>
      <c r="W43" s="20"/>
      <c r="X43" s="20"/>
      <c r="Y43" s="20"/>
      <c r="Z43" s="20"/>
      <c r="AA43" s="20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  <c r="AM43" s="21"/>
      <c r="AN43" s="21"/>
      <c r="AO43" s="21"/>
      <c r="AP43" s="21"/>
      <c r="AQ43" s="21"/>
      <c r="AR43" s="21"/>
      <c r="AS43" s="21"/>
      <c r="AT43" s="21"/>
      <c r="AU43" s="21"/>
      <c r="AV43" s="21"/>
      <c r="AW43" s="21"/>
      <c r="AX43" s="21"/>
      <c r="AY43" s="21"/>
      <c r="AZ43" s="21"/>
      <c r="BA43" s="21"/>
      <c r="BB43" s="21"/>
      <c r="BC43" s="21"/>
      <c r="BD43" s="21"/>
      <c r="BE43" s="21"/>
      <c r="BF43" s="21"/>
      <c r="BG43" s="21"/>
      <c r="BH43" s="21"/>
      <c r="BI43" s="21"/>
      <c r="BJ43" s="21"/>
      <c r="BK43" s="21"/>
      <c r="BL43" s="21"/>
      <c r="BM43" s="21"/>
      <c r="BN43" s="21"/>
      <c r="BO43" s="21"/>
      <c r="BP43" s="21"/>
      <c r="BQ43" s="21"/>
      <c r="BR43" s="21"/>
      <c r="BS43" s="21"/>
      <c r="BT43" s="21"/>
      <c r="BU43" s="21"/>
      <c r="BV43" s="21"/>
      <c r="BW43" s="21"/>
      <c r="BX43" s="21"/>
      <c r="BY43" s="21"/>
      <c r="BZ43" s="21"/>
      <c r="CA43" s="21"/>
      <c r="CB43" s="21"/>
      <c r="CC43" s="21"/>
      <c r="CD43" s="21"/>
      <c r="CE43" s="21"/>
      <c r="CF43" s="21"/>
      <c r="CG43" s="21"/>
      <c r="CH43" s="21"/>
      <c r="CI43" s="21"/>
      <c r="CJ43" s="21"/>
      <c r="CK43" s="21"/>
      <c r="CL43" s="21"/>
      <c r="CM43" s="21"/>
      <c r="CN43" s="21"/>
      <c r="CO43" s="21"/>
      <c r="CP43" s="21"/>
      <c r="CQ43" s="21"/>
      <c r="CR43" s="21"/>
      <c r="CS43" s="21"/>
      <c r="CT43" s="21"/>
      <c r="CU43" s="21"/>
      <c r="CV43" s="21"/>
      <c r="CW43" s="21"/>
      <c r="CX43" s="21"/>
      <c r="CY43" s="21"/>
      <c r="CZ43" s="21"/>
      <c r="DA43" s="21"/>
      <c r="DB43" s="21"/>
      <c r="DC43" s="21"/>
      <c r="DD43" s="21"/>
      <c r="DE43" s="21"/>
      <c r="DF43" s="21"/>
      <c r="DG43" s="21"/>
      <c r="DH43" s="21"/>
      <c r="DI43" s="21"/>
      <c r="DJ43" s="21"/>
      <c r="DK43" s="21"/>
      <c r="DL43" s="21"/>
      <c r="DM43" s="21"/>
      <c r="DN43" s="21"/>
      <c r="DO43" s="21"/>
      <c r="DP43" s="21"/>
      <c r="DQ43" s="21"/>
      <c r="DR43" s="21"/>
      <c r="DS43" s="21"/>
      <c r="DT43" s="21"/>
      <c r="DU43" s="21"/>
      <c r="DV43" s="21"/>
      <c r="DW43" s="21"/>
      <c r="DX43" s="21"/>
      <c r="DY43" s="21"/>
      <c r="DZ43" s="21"/>
      <c r="EA43" s="21"/>
      <c r="EB43" s="21"/>
      <c r="EC43" s="21"/>
      <c r="ED43" s="21"/>
      <c r="EE43" s="21"/>
      <c r="EF43" s="21"/>
      <c r="EG43" s="21"/>
      <c r="EH43" s="21"/>
      <c r="EI43" s="21"/>
      <c r="EJ43" s="21"/>
      <c r="EK43" s="21"/>
      <c r="EL43" s="21"/>
      <c r="EM43" s="21"/>
      <c r="EN43" s="21"/>
      <c r="EO43" s="21"/>
      <c r="EP43" s="21"/>
      <c r="EQ43" s="21"/>
      <c r="ER43" s="21"/>
      <c r="ES43" s="21"/>
      <c r="ET43" s="21"/>
      <c r="EU43" s="21"/>
      <c r="EV43" s="21"/>
      <c r="EW43" s="21"/>
      <c r="EX43" s="21"/>
      <c r="EY43" s="21"/>
      <c r="EZ43" s="21"/>
      <c r="FA43" s="21"/>
      <c r="FB43" s="21"/>
      <c r="FC43" s="21"/>
      <c r="FD43" s="21"/>
      <c r="FE43" s="21"/>
      <c r="FF43" s="21"/>
      <c r="FG43" s="21"/>
      <c r="FH43" s="21"/>
      <c r="FI43" s="21"/>
      <c r="FJ43" s="21"/>
      <c r="FK43" s="21"/>
      <c r="FL43" s="21"/>
      <c r="FM43" s="21"/>
      <c r="FN43" s="21"/>
      <c r="FO43" s="21"/>
      <c r="FP43" s="21"/>
      <c r="FQ43" s="21"/>
      <c r="FR43" s="21"/>
      <c r="FS43" s="21"/>
      <c r="FT43" s="21"/>
      <c r="FU43" s="21"/>
      <c r="FV43" s="21"/>
      <c r="FW43" s="21"/>
      <c r="FX43" s="21"/>
      <c r="FY43" s="21"/>
      <c r="FZ43" s="21"/>
      <c r="GA43" s="21"/>
      <c r="GB43" s="21"/>
      <c r="GC43" s="21"/>
      <c r="GD43" s="21"/>
      <c r="GE43" s="21"/>
      <c r="GF43" s="21"/>
      <c r="GG43" s="21"/>
      <c r="GH43" s="21"/>
      <c r="GI43" s="21"/>
      <c r="GJ43" s="21"/>
      <c r="GK43" s="21"/>
      <c r="GL43" s="21"/>
      <c r="GM43" s="21"/>
      <c r="GN43" s="21"/>
      <c r="GO43" s="21"/>
      <c r="GP43" s="21"/>
      <c r="GQ43" s="21"/>
      <c r="GR43" s="21"/>
      <c r="GS43" s="21"/>
      <c r="GT43" s="21"/>
      <c r="GU43" s="21"/>
      <c r="GV43" s="21"/>
      <c r="GW43" s="21"/>
      <c r="GX43" s="21"/>
      <c r="GY43" s="21"/>
      <c r="GZ43" s="21"/>
      <c r="HA43" s="21"/>
      <c r="HB43" s="21"/>
      <c r="HC43" s="21"/>
      <c r="HD43" s="21"/>
      <c r="HE43" s="21"/>
      <c r="HF43" s="21"/>
      <c r="HG43" s="21"/>
      <c r="HH43" s="21"/>
      <c r="HI43" s="21"/>
      <c r="HJ43" s="21"/>
      <c r="HK43" s="21"/>
      <c r="HL43" s="21"/>
      <c r="HM43" s="21"/>
      <c r="HN43" s="21"/>
      <c r="HO43" s="21"/>
      <c r="HP43" s="21"/>
      <c r="HQ43" s="21"/>
      <c r="HR43" s="21"/>
      <c r="HS43" s="21"/>
      <c r="HT43" s="21"/>
      <c r="HU43" s="21"/>
      <c r="HV43" s="21"/>
      <c r="HW43" s="21"/>
      <c r="HX43" s="21"/>
      <c r="HY43" s="21"/>
    </row>
    <row r="44" spans="1:233" ht="18.5" x14ac:dyDescent="0.45">
      <c r="A44" s="269" t="s">
        <v>74</v>
      </c>
      <c r="B44" s="242">
        <v>8763</v>
      </c>
      <c r="C44" s="242" t="s">
        <v>102</v>
      </c>
      <c r="D44" s="242">
        <v>2505</v>
      </c>
      <c r="E44" s="242" t="s">
        <v>102</v>
      </c>
      <c r="F44" s="242">
        <f t="shared" si="2"/>
        <v>11268</v>
      </c>
      <c r="G44" s="242" t="s">
        <v>102</v>
      </c>
      <c r="H44" s="242">
        <v>9912</v>
      </c>
      <c r="I44" s="242" t="s">
        <v>102</v>
      </c>
      <c r="J44" s="243">
        <v>0</v>
      </c>
      <c r="K44" s="242" t="s">
        <v>102</v>
      </c>
      <c r="L44" s="242">
        <f t="shared" si="3"/>
        <v>9912</v>
      </c>
      <c r="M44" s="242" t="s">
        <v>102</v>
      </c>
      <c r="N44" s="242" t="s">
        <v>102</v>
      </c>
      <c r="O44" s="242">
        <v>1976</v>
      </c>
      <c r="P44" s="242" t="s">
        <v>102</v>
      </c>
      <c r="Q44" s="242">
        <v>795</v>
      </c>
      <c r="R44" s="242" t="s">
        <v>102</v>
      </c>
      <c r="S44" s="242">
        <v>3853</v>
      </c>
      <c r="T44" s="70" t="s">
        <v>102</v>
      </c>
      <c r="U44" s="70" t="s">
        <v>102</v>
      </c>
      <c r="V44" s="20"/>
      <c r="W44" s="20"/>
      <c r="X44" s="20"/>
      <c r="Y44" s="20"/>
      <c r="Z44" s="20"/>
      <c r="AA44" s="20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  <c r="AM44" s="21"/>
      <c r="AN44" s="21"/>
      <c r="AO44" s="21"/>
      <c r="AP44" s="21"/>
      <c r="AQ44" s="21"/>
      <c r="AR44" s="21"/>
      <c r="AS44" s="21"/>
      <c r="AT44" s="21"/>
      <c r="AU44" s="21"/>
      <c r="AV44" s="21"/>
      <c r="AW44" s="21"/>
      <c r="AX44" s="21"/>
      <c r="AY44" s="21"/>
      <c r="AZ44" s="21"/>
      <c r="BA44" s="21"/>
      <c r="BB44" s="21"/>
      <c r="BC44" s="21"/>
      <c r="BD44" s="21"/>
      <c r="BE44" s="21"/>
      <c r="BF44" s="21"/>
      <c r="BG44" s="21"/>
      <c r="BH44" s="21"/>
      <c r="BI44" s="21"/>
      <c r="BJ44" s="21"/>
      <c r="BK44" s="21"/>
      <c r="BL44" s="21"/>
      <c r="BM44" s="21"/>
      <c r="BN44" s="21"/>
      <c r="BO44" s="21"/>
      <c r="BP44" s="21"/>
      <c r="BQ44" s="21"/>
      <c r="BR44" s="21"/>
      <c r="BS44" s="21"/>
      <c r="BT44" s="21"/>
      <c r="BU44" s="21"/>
      <c r="BV44" s="21"/>
      <c r="BW44" s="21"/>
      <c r="BX44" s="21"/>
      <c r="BY44" s="21"/>
      <c r="BZ44" s="21"/>
      <c r="CA44" s="21"/>
      <c r="CB44" s="21"/>
      <c r="CC44" s="21"/>
      <c r="CD44" s="21"/>
      <c r="CE44" s="21"/>
      <c r="CF44" s="21"/>
      <c r="CG44" s="21"/>
      <c r="CH44" s="21"/>
      <c r="CI44" s="21"/>
      <c r="CJ44" s="21"/>
      <c r="CK44" s="21"/>
      <c r="CL44" s="21"/>
      <c r="CM44" s="21"/>
      <c r="CN44" s="21"/>
      <c r="CO44" s="21"/>
      <c r="CP44" s="21"/>
      <c r="CQ44" s="21"/>
      <c r="CR44" s="21"/>
      <c r="CS44" s="21"/>
      <c r="CT44" s="21"/>
      <c r="CU44" s="21"/>
      <c r="CV44" s="21"/>
      <c r="CW44" s="21"/>
      <c r="CX44" s="21"/>
      <c r="CY44" s="21"/>
      <c r="CZ44" s="21"/>
      <c r="DA44" s="21"/>
      <c r="DB44" s="21"/>
      <c r="DC44" s="21"/>
      <c r="DD44" s="21"/>
      <c r="DE44" s="21"/>
      <c r="DF44" s="21"/>
      <c r="DG44" s="21"/>
      <c r="DH44" s="21"/>
      <c r="DI44" s="21"/>
      <c r="DJ44" s="21"/>
      <c r="DK44" s="21"/>
      <c r="DL44" s="21"/>
      <c r="DM44" s="21"/>
      <c r="DN44" s="21"/>
      <c r="DO44" s="21"/>
      <c r="DP44" s="21"/>
      <c r="DQ44" s="21"/>
      <c r="DR44" s="21"/>
      <c r="DS44" s="21"/>
      <c r="DT44" s="21"/>
      <c r="DU44" s="21"/>
      <c r="DV44" s="21"/>
      <c r="DW44" s="21"/>
      <c r="DX44" s="21"/>
      <c r="DY44" s="21"/>
      <c r="DZ44" s="21"/>
      <c r="EA44" s="21"/>
      <c r="EB44" s="21"/>
      <c r="EC44" s="21"/>
      <c r="ED44" s="21"/>
      <c r="EE44" s="21"/>
      <c r="EF44" s="21"/>
      <c r="EG44" s="21"/>
      <c r="EH44" s="21"/>
      <c r="EI44" s="21"/>
      <c r="EJ44" s="21"/>
      <c r="EK44" s="21"/>
      <c r="EL44" s="21"/>
      <c r="EM44" s="21"/>
      <c r="EN44" s="21"/>
      <c r="EO44" s="21"/>
      <c r="EP44" s="21"/>
      <c r="EQ44" s="21"/>
      <c r="ER44" s="21"/>
      <c r="ES44" s="21"/>
      <c r="ET44" s="21"/>
      <c r="EU44" s="21"/>
      <c r="EV44" s="21"/>
      <c r="EW44" s="21"/>
      <c r="EX44" s="21"/>
      <c r="EY44" s="21"/>
      <c r="EZ44" s="21"/>
      <c r="FA44" s="21"/>
      <c r="FB44" s="21"/>
      <c r="FC44" s="21"/>
      <c r="FD44" s="21"/>
      <c r="FE44" s="21"/>
      <c r="FF44" s="21"/>
      <c r="FG44" s="21"/>
      <c r="FH44" s="21"/>
      <c r="FI44" s="21"/>
      <c r="FJ44" s="21"/>
      <c r="FK44" s="21"/>
      <c r="FL44" s="21"/>
      <c r="FM44" s="21"/>
      <c r="FN44" s="21"/>
      <c r="FO44" s="21"/>
      <c r="FP44" s="21"/>
      <c r="FQ44" s="21"/>
      <c r="FR44" s="21"/>
      <c r="FS44" s="21"/>
      <c r="FT44" s="21"/>
      <c r="FU44" s="21"/>
      <c r="FV44" s="21"/>
      <c r="FW44" s="21"/>
      <c r="FX44" s="21"/>
      <c r="FY44" s="21"/>
      <c r="FZ44" s="21"/>
      <c r="GA44" s="21"/>
      <c r="GB44" s="21"/>
      <c r="GC44" s="21"/>
      <c r="GD44" s="21"/>
      <c r="GE44" s="21"/>
      <c r="GF44" s="21"/>
      <c r="GG44" s="21"/>
      <c r="GH44" s="21"/>
      <c r="GI44" s="21"/>
      <c r="GJ44" s="21"/>
      <c r="GK44" s="21"/>
      <c r="GL44" s="21"/>
      <c r="GM44" s="21"/>
      <c r="GN44" s="21"/>
      <c r="GO44" s="21"/>
      <c r="GP44" s="21"/>
      <c r="GQ44" s="21"/>
      <c r="GR44" s="21"/>
      <c r="GS44" s="21"/>
      <c r="GT44" s="21"/>
      <c r="GU44" s="21"/>
      <c r="GV44" s="21"/>
      <c r="GW44" s="21"/>
      <c r="GX44" s="21"/>
      <c r="GY44" s="21"/>
      <c r="GZ44" s="21"/>
      <c r="HA44" s="21"/>
      <c r="HB44" s="21"/>
      <c r="HC44" s="21"/>
      <c r="HD44" s="21"/>
      <c r="HE44" s="21"/>
      <c r="HF44" s="21"/>
      <c r="HG44" s="21"/>
      <c r="HH44" s="21"/>
      <c r="HI44" s="21"/>
      <c r="HJ44" s="21"/>
      <c r="HK44" s="21"/>
      <c r="HL44" s="21"/>
      <c r="HM44" s="21"/>
      <c r="HN44" s="21"/>
      <c r="HO44" s="21"/>
      <c r="HP44" s="21"/>
      <c r="HQ44" s="21"/>
      <c r="HR44" s="21"/>
      <c r="HS44" s="21"/>
      <c r="HT44" s="21"/>
      <c r="HU44" s="21"/>
      <c r="HV44" s="21"/>
      <c r="HW44" s="21"/>
      <c r="HX44" s="21"/>
      <c r="HY44" s="21"/>
    </row>
    <row r="45" spans="1:233" ht="18.5" x14ac:dyDescent="0.45">
      <c r="A45" s="269" t="s">
        <v>75</v>
      </c>
      <c r="B45" s="243">
        <v>0</v>
      </c>
      <c r="C45" s="243" t="s">
        <v>102</v>
      </c>
      <c r="D45" s="243">
        <v>0</v>
      </c>
      <c r="E45" s="243" t="s">
        <v>102</v>
      </c>
      <c r="F45" s="243">
        <f t="shared" si="2"/>
        <v>0</v>
      </c>
      <c r="G45" s="242" t="s">
        <v>102</v>
      </c>
      <c r="H45" s="242">
        <v>288</v>
      </c>
      <c r="I45" s="242" t="s">
        <v>102</v>
      </c>
      <c r="J45" s="243">
        <v>0</v>
      </c>
      <c r="K45" s="242" t="s">
        <v>102</v>
      </c>
      <c r="L45" s="242">
        <f t="shared" si="3"/>
        <v>288</v>
      </c>
      <c r="M45" s="242" t="s">
        <v>102</v>
      </c>
      <c r="N45" s="242" t="s">
        <v>102</v>
      </c>
      <c r="O45" s="242">
        <v>1000</v>
      </c>
      <c r="P45" s="242" t="s">
        <v>102</v>
      </c>
      <c r="Q45" s="243">
        <v>0</v>
      </c>
      <c r="R45" s="243" t="s">
        <v>102</v>
      </c>
      <c r="S45" s="243">
        <v>0</v>
      </c>
      <c r="T45" s="70" t="s">
        <v>102</v>
      </c>
      <c r="U45" s="70" t="s">
        <v>102</v>
      </c>
      <c r="V45" s="20"/>
      <c r="W45" s="20"/>
      <c r="X45" s="20"/>
      <c r="Y45" s="20"/>
      <c r="Z45" s="20"/>
      <c r="AA45" s="20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  <c r="AM45" s="21"/>
      <c r="AN45" s="21"/>
      <c r="AO45" s="21"/>
      <c r="AP45" s="21"/>
      <c r="AQ45" s="21"/>
      <c r="AR45" s="21"/>
      <c r="AS45" s="21"/>
      <c r="AT45" s="21"/>
      <c r="AU45" s="21"/>
      <c r="AV45" s="21"/>
      <c r="AW45" s="21"/>
      <c r="AX45" s="21"/>
      <c r="AY45" s="21"/>
      <c r="AZ45" s="21"/>
      <c r="BA45" s="21"/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  <c r="CD45" s="21"/>
      <c r="CE45" s="21"/>
      <c r="CF45" s="21"/>
      <c r="CG45" s="21"/>
      <c r="CH45" s="21"/>
      <c r="CI45" s="21"/>
      <c r="CJ45" s="21"/>
      <c r="CK45" s="21"/>
      <c r="CL45" s="21"/>
      <c r="CM45" s="21"/>
      <c r="CN45" s="21"/>
      <c r="CO45" s="21"/>
      <c r="CP45" s="21"/>
      <c r="CQ45" s="21"/>
      <c r="CR45" s="21"/>
      <c r="CS45" s="21"/>
      <c r="CT45" s="21"/>
      <c r="CU45" s="21"/>
      <c r="CV45" s="21"/>
      <c r="CW45" s="21"/>
      <c r="CX45" s="21"/>
      <c r="CY45" s="21"/>
      <c r="CZ45" s="21"/>
      <c r="DA45" s="21"/>
      <c r="DB45" s="21"/>
      <c r="DC45" s="21"/>
      <c r="DD45" s="21"/>
      <c r="DE45" s="21"/>
      <c r="DF45" s="21"/>
      <c r="DG45" s="21"/>
      <c r="DH45" s="21"/>
      <c r="DI45" s="21"/>
      <c r="DJ45" s="21"/>
      <c r="DK45" s="21"/>
      <c r="DL45" s="21"/>
      <c r="DM45" s="21"/>
      <c r="DN45" s="21"/>
      <c r="DO45" s="21"/>
      <c r="DP45" s="21"/>
      <c r="DQ45" s="21"/>
      <c r="DR45" s="21"/>
      <c r="DS45" s="21"/>
      <c r="DT45" s="21"/>
      <c r="DU45" s="21"/>
      <c r="DV45" s="21"/>
      <c r="DW45" s="21"/>
      <c r="DX45" s="21"/>
      <c r="DY45" s="21"/>
      <c r="DZ45" s="21"/>
      <c r="EA45" s="21"/>
      <c r="EB45" s="21"/>
      <c r="EC45" s="21"/>
      <c r="ED45" s="21"/>
      <c r="EE45" s="21"/>
      <c r="EF45" s="21"/>
      <c r="EG45" s="21"/>
      <c r="EH45" s="21"/>
      <c r="EI45" s="21"/>
      <c r="EJ45" s="21"/>
      <c r="EK45" s="21"/>
      <c r="EL45" s="21"/>
      <c r="EM45" s="21"/>
      <c r="EN45" s="21"/>
      <c r="EO45" s="21"/>
      <c r="EP45" s="21"/>
      <c r="EQ45" s="21"/>
      <c r="ER45" s="21"/>
      <c r="ES45" s="21"/>
      <c r="ET45" s="21"/>
      <c r="EU45" s="21"/>
      <c r="EV45" s="21"/>
      <c r="EW45" s="21"/>
      <c r="EX45" s="21"/>
      <c r="EY45" s="21"/>
      <c r="EZ45" s="21"/>
      <c r="FA45" s="21"/>
      <c r="FB45" s="21"/>
      <c r="FC45" s="21"/>
      <c r="FD45" s="21"/>
      <c r="FE45" s="21"/>
      <c r="FF45" s="21"/>
      <c r="FG45" s="21"/>
      <c r="FH45" s="21"/>
      <c r="FI45" s="21"/>
      <c r="FJ45" s="21"/>
      <c r="FK45" s="21"/>
      <c r="FL45" s="21"/>
      <c r="FM45" s="21"/>
      <c r="FN45" s="21"/>
      <c r="FO45" s="21"/>
      <c r="FP45" s="21"/>
      <c r="FQ45" s="21"/>
      <c r="FR45" s="21"/>
      <c r="FS45" s="21"/>
      <c r="FT45" s="21"/>
      <c r="FU45" s="21"/>
      <c r="FV45" s="21"/>
      <c r="FW45" s="21"/>
      <c r="FX45" s="21"/>
      <c r="FY45" s="21"/>
      <c r="FZ45" s="21"/>
      <c r="GA45" s="21"/>
      <c r="GB45" s="21"/>
      <c r="GC45" s="21"/>
      <c r="GD45" s="21"/>
      <c r="GE45" s="21"/>
      <c r="GF45" s="21"/>
      <c r="GG45" s="21"/>
      <c r="GH45" s="21"/>
      <c r="GI45" s="21"/>
      <c r="GJ45" s="21"/>
      <c r="GK45" s="21"/>
      <c r="GL45" s="21"/>
      <c r="GM45" s="21"/>
      <c r="GN45" s="21"/>
      <c r="GO45" s="21"/>
      <c r="GP45" s="21"/>
      <c r="GQ45" s="21"/>
      <c r="GR45" s="21"/>
      <c r="GS45" s="21"/>
      <c r="GT45" s="21"/>
      <c r="GU45" s="21"/>
      <c r="GV45" s="21"/>
      <c r="GW45" s="21"/>
      <c r="GX45" s="21"/>
      <c r="GY45" s="21"/>
      <c r="GZ45" s="21"/>
      <c r="HA45" s="21"/>
      <c r="HB45" s="21"/>
      <c r="HC45" s="21"/>
      <c r="HD45" s="21"/>
      <c r="HE45" s="21"/>
      <c r="HF45" s="21"/>
      <c r="HG45" s="21"/>
      <c r="HH45" s="21"/>
      <c r="HI45" s="21"/>
      <c r="HJ45" s="21"/>
      <c r="HK45" s="21"/>
      <c r="HL45" s="21"/>
      <c r="HM45" s="21"/>
      <c r="HN45" s="21"/>
      <c r="HO45" s="21"/>
      <c r="HP45" s="21"/>
      <c r="HQ45" s="21"/>
      <c r="HR45" s="21"/>
      <c r="HS45" s="21"/>
      <c r="HT45" s="21"/>
      <c r="HU45" s="21"/>
      <c r="HV45" s="21"/>
      <c r="HW45" s="21"/>
      <c r="HX45" s="21"/>
      <c r="HY45" s="21"/>
    </row>
    <row r="46" spans="1:233" ht="18.5" x14ac:dyDescent="0.45">
      <c r="A46" s="269" t="s">
        <v>76</v>
      </c>
      <c r="B46" s="242">
        <v>29268</v>
      </c>
      <c r="C46" s="243" t="s">
        <v>102</v>
      </c>
      <c r="D46" s="242">
        <v>2826</v>
      </c>
      <c r="E46" s="242" t="s">
        <v>102</v>
      </c>
      <c r="F46" s="242">
        <f t="shared" si="2"/>
        <v>32094</v>
      </c>
      <c r="G46" s="242" t="s">
        <v>102</v>
      </c>
      <c r="H46" s="242">
        <v>54042</v>
      </c>
      <c r="I46" s="242" t="s">
        <v>102</v>
      </c>
      <c r="J46" s="242">
        <v>3211</v>
      </c>
      <c r="K46" s="242" t="s">
        <v>102</v>
      </c>
      <c r="L46" s="242">
        <f t="shared" si="3"/>
        <v>57253</v>
      </c>
      <c r="M46" s="242" t="s">
        <v>102</v>
      </c>
      <c r="N46" s="242" t="s">
        <v>102</v>
      </c>
      <c r="O46" s="242">
        <v>5343</v>
      </c>
      <c r="P46" s="242" t="s">
        <v>102</v>
      </c>
      <c r="Q46" s="242">
        <v>4047</v>
      </c>
      <c r="R46" s="242" t="s">
        <v>102</v>
      </c>
      <c r="S46" s="242">
        <v>15601</v>
      </c>
      <c r="T46" s="70" t="s">
        <v>102</v>
      </c>
      <c r="U46" s="70" t="s">
        <v>102</v>
      </c>
      <c r="V46" s="20"/>
      <c r="W46" s="20"/>
      <c r="X46" s="20"/>
      <c r="Y46" s="20"/>
      <c r="Z46" s="20"/>
      <c r="AA46" s="20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  <c r="AM46" s="21"/>
      <c r="AN46" s="21"/>
      <c r="AO46" s="21"/>
      <c r="AP46" s="21"/>
      <c r="AQ46" s="21"/>
      <c r="AR46" s="21"/>
      <c r="AS46" s="21"/>
      <c r="AT46" s="21"/>
      <c r="AU46" s="21"/>
      <c r="AV46" s="21"/>
      <c r="AW46" s="21"/>
      <c r="AX46" s="21"/>
      <c r="AY46" s="21"/>
      <c r="AZ46" s="21"/>
      <c r="BA46" s="21"/>
      <c r="BB46" s="21"/>
      <c r="BC46" s="21"/>
      <c r="BD46" s="21"/>
      <c r="BE46" s="21"/>
      <c r="BF46" s="21"/>
      <c r="BG46" s="21"/>
      <c r="BH46" s="21"/>
      <c r="BI46" s="21"/>
      <c r="BJ46" s="21"/>
      <c r="BK46" s="21"/>
      <c r="BL46" s="21"/>
      <c r="BM46" s="21"/>
      <c r="BN46" s="21"/>
      <c r="BO46" s="21"/>
      <c r="BP46" s="21"/>
      <c r="BQ46" s="21"/>
      <c r="BR46" s="21"/>
      <c r="BS46" s="21"/>
      <c r="BT46" s="21"/>
      <c r="BU46" s="21"/>
      <c r="BV46" s="21"/>
      <c r="BW46" s="21"/>
      <c r="BX46" s="21"/>
      <c r="BY46" s="21"/>
      <c r="BZ46" s="21"/>
      <c r="CA46" s="21"/>
      <c r="CB46" s="21"/>
      <c r="CC46" s="21"/>
      <c r="CD46" s="21"/>
      <c r="CE46" s="21"/>
      <c r="CF46" s="21"/>
      <c r="CG46" s="21"/>
      <c r="CH46" s="21"/>
      <c r="CI46" s="21"/>
      <c r="CJ46" s="21"/>
      <c r="CK46" s="21"/>
      <c r="CL46" s="21"/>
      <c r="CM46" s="21"/>
      <c r="CN46" s="21"/>
      <c r="CO46" s="21"/>
      <c r="CP46" s="21"/>
      <c r="CQ46" s="21"/>
      <c r="CR46" s="21"/>
      <c r="CS46" s="21"/>
      <c r="CT46" s="21"/>
      <c r="CU46" s="21"/>
      <c r="CV46" s="21"/>
      <c r="CW46" s="21"/>
      <c r="CX46" s="21"/>
      <c r="CY46" s="21"/>
      <c r="CZ46" s="21"/>
      <c r="DA46" s="21"/>
      <c r="DB46" s="21"/>
      <c r="DC46" s="21"/>
      <c r="DD46" s="21"/>
      <c r="DE46" s="21"/>
      <c r="DF46" s="21"/>
      <c r="DG46" s="21"/>
      <c r="DH46" s="21"/>
      <c r="DI46" s="21"/>
      <c r="DJ46" s="21"/>
      <c r="DK46" s="21"/>
      <c r="DL46" s="21"/>
      <c r="DM46" s="21"/>
      <c r="DN46" s="21"/>
      <c r="DO46" s="21"/>
      <c r="DP46" s="21"/>
      <c r="DQ46" s="21"/>
      <c r="DR46" s="21"/>
      <c r="DS46" s="21"/>
      <c r="DT46" s="21"/>
      <c r="DU46" s="21"/>
      <c r="DV46" s="21"/>
      <c r="DW46" s="21"/>
      <c r="DX46" s="21"/>
      <c r="DY46" s="21"/>
      <c r="DZ46" s="21"/>
      <c r="EA46" s="21"/>
      <c r="EB46" s="21"/>
      <c r="EC46" s="21"/>
      <c r="ED46" s="21"/>
      <c r="EE46" s="21"/>
      <c r="EF46" s="21"/>
      <c r="EG46" s="21"/>
      <c r="EH46" s="21"/>
      <c r="EI46" s="21"/>
      <c r="EJ46" s="21"/>
      <c r="EK46" s="21"/>
      <c r="EL46" s="21"/>
      <c r="EM46" s="21"/>
      <c r="EN46" s="21"/>
      <c r="EO46" s="21"/>
      <c r="EP46" s="21"/>
      <c r="EQ46" s="21"/>
      <c r="ER46" s="21"/>
      <c r="ES46" s="21"/>
      <c r="ET46" s="21"/>
      <c r="EU46" s="21"/>
      <c r="EV46" s="21"/>
      <c r="EW46" s="21"/>
      <c r="EX46" s="21"/>
      <c r="EY46" s="21"/>
      <c r="EZ46" s="21"/>
      <c r="FA46" s="21"/>
      <c r="FB46" s="21"/>
      <c r="FC46" s="21"/>
      <c r="FD46" s="21"/>
      <c r="FE46" s="21"/>
      <c r="FF46" s="21"/>
      <c r="FG46" s="21"/>
      <c r="FH46" s="21"/>
      <c r="FI46" s="21"/>
      <c r="FJ46" s="21"/>
      <c r="FK46" s="21"/>
      <c r="FL46" s="21"/>
      <c r="FM46" s="21"/>
      <c r="FN46" s="21"/>
      <c r="FO46" s="21"/>
      <c r="FP46" s="21"/>
      <c r="FQ46" s="21"/>
      <c r="FR46" s="21"/>
      <c r="FS46" s="21"/>
      <c r="FT46" s="21"/>
      <c r="FU46" s="21"/>
      <c r="FV46" s="21"/>
      <c r="FW46" s="21"/>
      <c r="FX46" s="21"/>
      <c r="FY46" s="21"/>
      <c r="FZ46" s="21"/>
      <c r="GA46" s="21"/>
      <c r="GB46" s="21"/>
      <c r="GC46" s="21"/>
      <c r="GD46" s="21"/>
      <c r="GE46" s="21"/>
      <c r="GF46" s="21"/>
      <c r="GG46" s="21"/>
      <c r="GH46" s="21"/>
      <c r="GI46" s="21"/>
      <c r="GJ46" s="21"/>
      <c r="GK46" s="21"/>
      <c r="GL46" s="21"/>
      <c r="GM46" s="21"/>
      <c r="GN46" s="21"/>
      <c r="GO46" s="21"/>
      <c r="GP46" s="21"/>
      <c r="GQ46" s="21"/>
      <c r="GR46" s="21"/>
      <c r="GS46" s="21"/>
      <c r="GT46" s="21"/>
      <c r="GU46" s="21"/>
      <c r="GV46" s="21"/>
      <c r="GW46" s="21"/>
      <c r="GX46" s="21"/>
      <c r="GY46" s="21"/>
      <c r="GZ46" s="21"/>
      <c r="HA46" s="21"/>
      <c r="HB46" s="21"/>
      <c r="HC46" s="21"/>
      <c r="HD46" s="21"/>
      <c r="HE46" s="21"/>
      <c r="HF46" s="21"/>
      <c r="HG46" s="21"/>
      <c r="HH46" s="21"/>
      <c r="HI46" s="21"/>
      <c r="HJ46" s="21"/>
      <c r="HK46" s="21"/>
      <c r="HL46" s="21"/>
      <c r="HM46" s="21"/>
      <c r="HN46" s="21"/>
      <c r="HO46" s="21"/>
      <c r="HP46" s="21"/>
      <c r="HQ46" s="21"/>
      <c r="HR46" s="21"/>
      <c r="HS46" s="21"/>
      <c r="HT46" s="21"/>
      <c r="HU46" s="21"/>
      <c r="HV46" s="21"/>
      <c r="HW46" s="21"/>
      <c r="HX46" s="21"/>
      <c r="HY46" s="21"/>
    </row>
    <row r="47" spans="1:233" ht="18.5" x14ac:dyDescent="0.45">
      <c r="A47" s="269" t="s">
        <v>77</v>
      </c>
      <c r="B47" s="242">
        <v>34617</v>
      </c>
      <c r="C47" s="243" t="s">
        <v>102</v>
      </c>
      <c r="D47" s="242">
        <v>43526</v>
      </c>
      <c r="E47" s="242" t="s">
        <v>102</v>
      </c>
      <c r="F47" s="242">
        <f t="shared" si="2"/>
        <v>78143</v>
      </c>
      <c r="G47" s="242" t="s">
        <v>102</v>
      </c>
      <c r="H47" s="242">
        <v>75392</v>
      </c>
      <c r="I47" s="242" t="s">
        <v>102</v>
      </c>
      <c r="J47" s="242">
        <v>45000</v>
      </c>
      <c r="K47" s="242" t="s">
        <v>102</v>
      </c>
      <c r="L47" s="242">
        <f t="shared" si="3"/>
        <v>120392</v>
      </c>
      <c r="M47" s="242" t="s">
        <v>102</v>
      </c>
      <c r="N47" s="242" t="s">
        <v>102</v>
      </c>
      <c r="O47" s="242">
        <v>10388</v>
      </c>
      <c r="P47" s="242" t="s">
        <v>102</v>
      </c>
      <c r="Q47" s="242">
        <v>5427</v>
      </c>
      <c r="R47" s="242" t="s">
        <v>102</v>
      </c>
      <c r="S47" s="242">
        <v>22029</v>
      </c>
      <c r="T47" s="70" t="s">
        <v>102</v>
      </c>
      <c r="U47" s="70" t="s">
        <v>102</v>
      </c>
      <c r="V47" s="20"/>
      <c r="W47" s="20"/>
      <c r="X47" s="20"/>
      <c r="Y47" s="20"/>
      <c r="Z47" s="20"/>
      <c r="AA47" s="20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  <c r="AM47" s="21"/>
      <c r="AN47" s="21"/>
      <c r="AO47" s="21"/>
      <c r="AP47" s="21"/>
      <c r="AQ47" s="21"/>
      <c r="AR47" s="21"/>
      <c r="AS47" s="21"/>
      <c r="AT47" s="21"/>
      <c r="AU47" s="21"/>
      <c r="AV47" s="21"/>
      <c r="AW47" s="21"/>
      <c r="AX47" s="21"/>
      <c r="AY47" s="21"/>
      <c r="AZ47" s="21"/>
      <c r="BA47" s="21"/>
      <c r="BB47" s="21"/>
      <c r="BC47" s="21"/>
      <c r="BD47" s="21"/>
      <c r="BE47" s="21"/>
      <c r="BF47" s="21"/>
      <c r="BG47" s="21"/>
      <c r="BH47" s="21"/>
      <c r="BI47" s="21"/>
      <c r="BJ47" s="21"/>
      <c r="BK47" s="21"/>
      <c r="BL47" s="21"/>
      <c r="BM47" s="21"/>
      <c r="BN47" s="21"/>
      <c r="BO47" s="21"/>
      <c r="BP47" s="21"/>
      <c r="BQ47" s="21"/>
      <c r="BR47" s="21"/>
      <c r="BS47" s="21"/>
      <c r="BT47" s="21"/>
      <c r="BU47" s="21"/>
      <c r="BV47" s="21"/>
      <c r="BW47" s="21"/>
      <c r="BX47" s="21"/>
      <c r="BY47" s="21"/>
      <c r="BZ47" s="21"/>
      <c r="CA47" s="21"/>
      <c r="CB47" s="21"/>
      <c r="CC47" s="21"/>
      <c r="CD47" s="21"/>
      <c r="CE47" s="21"/>
      <c r="CF47" s="21"/>
      <c r="CG47" s="21"/>
      <c r="CH47" s="21"/>
      <c r="CI47" s="21"/>
      <c r="CJ47" s="21"/>
      <c r="CK47" s="21"/>
      <c r="CL47" s="21"/>
      <c r="CM47" s="21"/>
      <c r="CN47" s="21"/>
      <c r="CO47" s="21"/>
      <c r="CP47" s="21"/>
      <c r="CQ47" s="21"/>
      <c r="CR47" s="21"/>
      <c r="CS47" s="21"/>
      <c r="CT47" s="21"/>
      <c r="CU47" s="21"/>
      <c r="CV47" s="21"/>
      <c r="CW47" s="21"/>
      <c r="CX47" s="21"/>
      <c r="CY47" s="21"/>
      <c r="CZ47" s="21"/>
      <c r="DA47" s="21"/>
      <c r="DB47" s="21"/>
      <c r="DC47" s="21"/>
      <c r="DD47" s="21"/>
      <c r="DE47" s="21"/>
      <c r="DF47" s="21"/>
      <c r="DG47" s="21"/>
      <c r="DH47" s="21"/>
      <c r="DI47" s="21"/>
      <c r="DJ47" s="21"/>
      <c r="DK47" s="21"/>
      <c r="DL47" s="21"/>
      <c r="DM47" s="21"/>
      <c r="DN47" s="21"/>
      <c r="DO47" s="21"/>
      <c r="DP47" s="21"/>
      <c r="DQ47" s="21"/>
      <c r="DR47" s="21"/>
      <c r="DS47" s="21"/>
      <c r="DT47" s="21"/>
      <c r="DU47" s="21"/>
      <c r="DV47" s="21"/>
      <c r="DW47" s="21"/>
      <c r="DX47" s="21"/>
      <c r="DY47" s="21"/>
      <c r="DZ47" s="21"/>
      <c r="EA47" s="21"/>
      <c r="EB47" s="21"/>
      <c r="EC47" s="21"/>
      <c r="ED47" s="21"/>
      <c r="EE47" s="21"/>
      <c r="EF47" s="21"/>
      <c r="EG47" s="21"/>
      <c r="EH47" s="21"/>
      <c r="EI47" s="21"/>
      <c r="EJ47" s="21"/>
      <c r="EK47" s="21"/>
      <c r="EL47" s="21"/>
      <c r="EM47" s="21"/>
      <c r="EN47" s="21"/>
      <c r="EO47" s="21"/>
      <c r="EP47" s="21"/>
      <c r="EQ47" s="21"/>
      <c r="ER47" s="21"/>
      <c r="ES47" s="21"/>
      <c r="ET47" s="21"/>
      <c r="EU47" s="21"/>
      <c r="EV47" s="21"/>
      <c r="EW47" s="21"/>
      <c r="EX47" s="21"/>
      <c r="EY47" s="21"/>
      <c r="EZ47" s="21"/>
      <c r="FA47" s="21"/>
      <c r="FB47" s="21"/>
      <c r="FC47" s="21"/>
      <c r="FD47" s="21"/>
      <c r="FE47" s="21"/>
      <c r="FF47" s="21"/>
      <c r="FG47" s="21"/>
      <c r="FH47" s="21"/>
      <c r="FI47" s="21"/>
      <c r="FJ47" s="21"/>
      <c r="FK47" s="21"/>
      <c r="FL47" s="21"/>
      <c r="FM47" s="21"/>
      <c r="FN47" s="21"/>
      <c r="FO47" s="21"/>
      <c r="FP47" s="21"/>
      <c r="FQ47" s="21"/>
      <c r="FR47" s="21"/>
      <c r="FS47" s="21"/>
      <c r="FT47" s="21"/>
      <c r="FU47" s="21"/>
      <c r="FV47" s="21"/>
      <c r="FW47" s="21"/>
      <c r="FX47" s="21"/>
      <c r="FY47" s="21"/>
      <c r="FZ47" s="21"/>
      <c r="GA47" s="21"/>
      <c r="GB47" s="21"/>
      <c r="GC47" s="21"/>
      <c r="GD47" s="21"/>
      <c r="GE47" s="21"/>
      <c r="GF47" s="21"/>
      <c r="GG47" s="21"/>
      <c r="GH47" s="21"/>
      <c r="GI47" s="21"/>
      <c r="GJ47" s="21"/>
      <c r="GK47" s="21"/>
      <c r="GL47" s="21"/>
      <c r="GM47" s="21"/>
      <c r="GN47" s="21"/>
      <c r="GO47" s="21"/>
      <c r="GP47" s="21"/>
      <c r="GQ47" s="21"/>
      <c r="GR47" s="21"/>
      <c r="GS47" s="21"/>
      <c r="GT47" s="21"/>
      <c r="GU47" s="21"/>
      <c r="GV47" s="21"/>
      <c r="GW47" s="21"/>
      <c r="GX47" s="21"/>
      <c r="GY47" s="21"/>
      <c r="GZ47" s="21"/>
      <c r="HA47" s="21"/>
      <c r="HB47" s="21"/>
      <c r="HC47" s="21"/>
      <c r="HD47" s="21"/>
      <c r="HE47" s="21"/>
      <c r="HF47" s="21"/>
      <c r="HG47" s="21"/>
      <c r="HH47" s="21"/>
      <c r="HI47" s="21"/>
      <c r="HJ47" s="21"/>
      <c r="HK47" s="21"/>
      <c r="HL47" s="21"/>
      <c r="HM47" s="21"/>
      <c r="HN47" s="21"/>
      <c r="HO47" s="21"/>
      <c r="HP47" s="21"/>
      <c r="HQ47" s="21"/>
      <c r="HR47" s="21"/>
      <c r="HS47" s="21"/>
      <c r="HT47" s="21"/>
      <c r="HU47" s="21"/>
      <c r="HV47" s="21"/>
      <c r="HW47" s="21"/>
      <c r="HX47" s="21"/>
      <c r="HY47" s="21"/>
    </row>
    <row r="48" spans="1:233" ht="18.5" x14ac:dyDescent="0.45">
      <c r="A48" s="269" t="s">
        <v>78</v>
      </c>
      <c r="B48" s="242">
        <v>50396</v>
      </c>
      <c r="C48" s="243" t="s">
        <v>102</v>
      </c>
      <c r="D48" s="242">
        <v>5934</v>
      </c>
      <c r="E48" s="242" t="s">
        <v>102</v>
      </c>
      <c r="F48" s="242">
        <f>SUM(B48:D48)</f>
        <v>56330</v>
      </c>
      <c r="G48" s="242" t="s">
        <v>102</v>
      </c>
      <c r="H48" s="242">
        <v>97799</v>
      </c>
      <c r="I48" s="242" t="s">
        <v>102</v>
      </c>
      <c r="J48" s="242">
        <v>5429</v>
      </c>
      <c r="K48" s="242" t="s">
        <v>102</v>
      </c>
      <c r="L48" s="242">
        <f>SUM(H48:J48)</f>
        <v>103228</v>
      </c>
      <c r="M48" s="242" t="s">
        <v>102</v>
      </c>
      <c r="N48" s="242" t="s">
        <v>102</v>
      </c>
      <c r="O48" s="242">
        <v>9860</v>
      </c>
      <c r="P48" s="242" t="s">
        <v>102</v>
      </c>
      <c r="Q48" s="242">
        <v>6296</v>
      </c>
      <c r="R48" s="242" t="s">
        <v>102</v>
      </c>
      <c r="S48" s="242">
        <v>26019</v>
      </c>
      <c r="T48" s="70" t="s">
        <v>102</v>
      </c>
      <c r="U48" s="70" t="s">
        <v>102</v>
      </c>
      <c r="V48" s="20"/>
      <c r="W48" s="20"/>
      <c r="X48" s="20"/>
      <c r="Y48" s="20"/>
      <c r="Z48" s="20"/>
      <c r="AA48" s="20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  <c r="AM48" s="21"/>
      <c r="AN48" s="21"/>
      <c r="AO48" s="21"/>
      <c r="AP48" s="21"/>
      <c r="AQ48" s="21"/>
      <c r="AR48" s="21"/>
      <c r="AS48" s="21"/>
      <c r="AT48" s="21"/>
      <c r="AU48" s="21"/>
      <c r="AV48" s="21"/>
      <c r="AW48" s="21"/>
      <c r="AX48" s="21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  <c r="BS48" s="21"/>
      <c r="BT48" s="21"/>
      <c r="BU48" s="21"/>
      <c r="BV48" s="21"/>
      <c r="BW48" s="21"/>
      <c r="BX48" s="21"/>
      <c r="BY48" s="21"/>
      <c r="BZ48" s="21"/>
      <c r="CA48" s="21"/>
      <c r="CB48" s="21"/>
      <c r="CC48" s="21"/>
      <c r="CD48" s="21"/>
      <c r="CE48" s="21"/>
      <c r="CF48" s="21"/>
      <c r="CG48" s="21"/>
      <c r="CH48" s="21"/>
      <c r="CI48" s="21"/>
      <c r="CJ48" s="21"/>
      <c r="CK48" s="21"/>
      <c r="CL48" s="21"/>
      <c r="CM48" s="21"/>
      <c r="CN48" s="21"/>
      <c r="CO48" s="21"/>
      <c r="CP48" s="21"/>
      <c r="CQ48" s="21"/>
      <c r="CR48" s="21"/>
      <c r="CS48" s="21"/>
      <c r="CT48" s="21"/>
      <c r="CU48" s="21"/>
      <c r="CV48" s="21"/>
      <c r="CW48" s="21"/>
      <c r="CX48" s="21"/>
      <c r="CY48" s="21"/>
      <c r="CZ48" s="21"/>
      <c r="DA48" s="21"/>
      <c r="DB48" s="21"/>
      <c r="DC48" s="21"/>
      <c r="DD48" s="21"/>
      <c r="DE48" s="21"/>
      <c r="DF48" s="21"/>
      <c r="DG48" s="21"/>
      <c r="DH48" s="21"/>
      <c r="DI48" s="21"/>
      <c r="DJ48" s="21"/>
      <c r="DK48" s="21"/>
      <c r="DL48" s="21"/>
      <c r="DM48" s="21"/>
      <c r="DN48" s="21"/>
      <c r="DO48" s="21"/>
      <c r="DP48" s="21"/>
      <c r="DQ48" s="21"/>
      <c r="DR48" s="21"/>
      <c r="DS48" s="21"/>
      <c r="DT48" s="21"/>
      <c r="DU48" s="21"/>
      <c r="DV48" s="21"/>
      <c r="DW48" s="21"/>
      <c r="DX48" s="21"/>
      <c r="DY48" s="21"/>
      <c r="DZ48" s="21"/>
      <c r="EA48" s="21"/>
      <c r="EB48" s="21"/>
      <c r="EC48" s="21"/>
      <c r="ED48" s="21"/>
      <c r="EE48" s="21"/>
      <c r="EF48" s="21"/>
      <c r="EG48" s="21"/>
      <c r="EH48" s="21"/>
      <c r="EI48" s="21"/>
      <c r="EJ48" s="21"/>
      <c r="EK48" s="21"/>
      <c r="EL48" s="21"/>
      <c r="EM48" s="21"/>
      <c r="EN48" s="21"/>
      <c r="EO48" s="21"/>
      <c r="EP48" s="21"/>
      <c r="EQ48" s="21"/>
      <c r="ER48" s="21"/>
      <c r="ES48" s="21"/>
      <c r="ET48" s="21"/>
      <c r="EU48" s="21"/>
      <c r="EV48" s="21"/>
      <c r="EW48" s="21"/>
      <c r="EX48" s="21"/>
      <c r="EY48" s="21"/>
      <c r="EZ48" s="21"/>
      <c r="FA48" s="21"/>
      <c r="FB48" s="21"/>
      <c r="FC48" s="21"/>
      <c r="FD48" s="21"/>
      <c r="FE48" s="21"/>
      <c r="FF48" s="21"/>
      <c r="FG48" s="21"/>
      <c r="FH48" s="21"/>
      <c r="FI48" s="21"/>
      <c r="FJ48" s="21"/>
      <c r="FK48" s="21"/>
      <c r="FL48" s="21"/>
      <c r="FM48" s="21"/>
      <c r="FN48" s="21"/>
      <c r="FO48" s="21"/>
      <c r="FP48" s="21"/>
      <c r="FQ48" s="21"/>
      <c r="FR48" s="21"/>
      <c r="FS48" s="21"/>
      <c r="FT48" s="21"/>
      <c r="FU48" s="21"/>
      <c r="FV48" s="21"/>
      <c r="FW48" s="21"/>
      <c r="FX48" s="21"/>
      <c r="FY48" s="21"/>
      <c r="FZ48" s="21"/>
      <c r="GA48" s="21"/>
      <c r="GB48" s="21"/>
      <c r="GC48" s="21"/>
      <c r="GD48" s="21"/>
      <c r="GE48" s="21"/>
      <c r="GF48" s="21"/>
      <c r="GG48" s="21"/>
      <c r="GH48" s="21"/>
      <c r="GI48" s="21"/>
      <c r="GJ48" s="21"/>
      <c r="GK48" s="21"/>
      <c r="GL48" s="21"/>
      <c r="GM48" s="21"/>
      <c r="GN48" s="21"/>
      <c r="GO48" s="21"/>
      <c r="GP48" s="21"/>
      <c r="GQ48" s="21"/>
      <c r="GR48" s="21"/>
      <c r="GS48" s="21"/>
      <c r="GT48" s="21"/>
      <c r="GU48" s="21"/>
      <c r="GV48" s="21"/>
      <c r="GW48" s="21"/>
      <c r="GX48" s="21"/>
      <c r="GY48" s="21"/>
      <c r="GZ48" s="21"/>
      <c r="HA48" s="21"/>
      <c r="HB48" s="21"/>
      <c r="HC48" s="21"/>
      <c r="HD48" s="21"/>
      <c r="HE48" s="21"/>
      <c r="HF48" s="21"/>
      <c r="HG48" s="21"/>
      <c r="HH48" s="21"/>
      <c r="HI48" s="21"/>
      <c r="HJ48" s="21"/>
      <c r="HK48" s="21"/>
      <c r="HL48" s="21"/>
      <c r="HM48" s="21"/>
      <c r="HN48" s="21"/>
      <c r="HO48" s="21"/>
      <c r="HP48" s="21"/>
      <c r="HQ48" s="21"/>
      <c r="HR48" s="21"/>
      <c r="HS48" s="21"/>
      <c r="HT48" s="21"/>
      <c r="HU48" s="21"/>
      <c r="HV48" s="21"/>
      <c r="HW48" s="21"/>
      <c r="HX48" s="21"/>
      <c r="HY48" s="21"/>
    </row>
    <row r="49" spans="1:233" ht="18.5" x14ac:dyDescent="0.45">
      <c r="A49" s="269" t="s">
        <v>79</v>
      </c>
      <c r="B49" s="242">
        <v>39982</v>
      </c>
      <c r="C49" s="243" t="s">
        <v>102</v>
      </c>
      <c r="D49" s="242">
        <v>29504</v>
      </c>
      <c r="E49" s="242" t="s">
        <v>102</v>
      </c>
      <c r="F49" s="242">
        <f t="shared" si="2"/>
        <v>69486</v>
      </c>
      <c r="G49" s="242" t="s">
        <v>102</v>
      </c>
      <c r="H49" s="242">
        <v>86060</v>
      </c>
      <c r="I49" s="242" t="s">
        <v>102</v>
      </c>
      <c r="J49" s="242">
        <v>41963</v>
      </c>
      <c r="K49" s="242" t="s">
        <v>102</v>
      </c>
      <c r="L49" s="242">
        <f t="shared" si="3"/>
        <v>128023</v>
      </c>
      <c r="M49" s="242" t="s">
        <v>102</v>
      </c>
      <c r="N49" s="242" t="s">
        <v>102</v>
      </c>
      <c r="O49" s="242">
        <v>9912</v>
      </c>
      <c r="P49" s="242" t="s">
        <v>102</v>
      </c>
      <c r="Q49" s="242">
        <v>7289</v>
      </c>
      <c r="R49" s="242" t="s">
        <v>102</v>
      </c>
      <c r="S49" s="242">
        <v>27933</v>
      </c>
      <c r="T49" s="70" t="s">
        <v>102</v>
      </c>
      <c r="U49" s="70" t="s">
        <v>102</v>
      </c>
      <c r="V49" s="20"/>
      <c r="W49" s="20"/>
      <c r="X49" s="20"/>
      <c r="Y49" s="20"/>
      <c r="Z49" s="20"/>
      <c r="AA49" s="20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  <c r="AM49" s="21"/>
      <c r="AN49" s="21"/>
      <c r="AO49" s="21"/>
      <c r="AP49" s="21"/>
      <c r="AQ49" s="21"/>
      <c r="AR49" s="21"/>
      <c r="AS49" s="21"/>
      <c r="AT49" s="21"/>
      <c r="AU49" s="21"/>
      <c r="AV49" s="21"/>
      <c r="AW49" s="21"/>
      <c r="AX49" s="21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  <c r="BS49" s="21"/>
      <c r="BT49" s="21"/>
      <c r="BU49" s="21"/>
      <c r="BV49" s="21"/>
      <c r="BW49" s="21"/>
      <c r="BX49" s="21"/>
      <c r="BY49" s="21"/>
      <c r="BZ49" s="21"/>
      <c r="CA49" s="21"/>
      <c r="CB49" s="21"/>
      <c r="CC49" s="21"/>
      <c r="CD49" s="21"/>
      <c r="CE49" s="21"/>
      <c r="CF49" s="21"/>
      <c r="CG49" s="21"/>
      <c r="CH49" s="21"/>
      <c r="CI49" s="21"/>
      <c r="CJ49" s="21"/>
      <c r="CK49" s="21"/>
      <c r="CL49" s="21"/>
      <c r="CM49" s="21"/>
      <c r="CN49" s="21"/>
      <c r="CO49" s="21"/>
      <c r="CP49" s="21"/>
      <c r="CQ49" s="21"/>
      <c r="CR49" s="21"/>
      <c r="CS49" s="21"/>
      <c r="CT49" s="21"/>
      <c r="CU49" s="21"/>
      <c r="CV49" s="21"/>
      <c r="CW49" s="21"/>
      <c r="CX49" s="21"/>
      <c r="CY49" s="21"/>
      <c r="CZ49" s="21"/>
      <c r="DA49" s="21"/>
      <c r="DB49" s="21"/>
      <c r="DC49" s="21"/>
      <c r="DD49" s="21"/>
      <c r="DE49" s="21"/>
      <c r="DF49" s="21"/>
      <c r="DG49" s="21"/>
      <c r="DH49" s="21"/>
      <c r="DI49" s="21"/>
      <c r="DJ49" s="21"/>
      <c r="DK49" s="21"/>
      <c r="DL49" s="21"/>
      <c r="DM49" s="21"/>
      <c r="DN49" s="21"/>
      <c r="DO49" s="21"/>
      <c r="DP49" s="21"/>
      <c r="DQ49" s="21"/>
      <c r="DR49" s="21"/>
      <c r="DS49" s="21"/>
      <c r="DT49" s="21"/>
      <c r="DU49" s="21"/>
      <c r="DV49" s="21"/>
      <c r="DW49" s="21"/>
      <c r="DX49" s="21"/>
      <c r="DY49" s="21"/>
      <c r="DZ49" s="21"/>
      <c r="EA49" s="21"/>
      <c r="EB49" s="21"/>
      <c r="EC49" s="21"/>
      <c r="ED49" s="21"/>
      <c r="EE49" s="21"/>
      <c r="EF49" s="21"/>
      <c r="EG49" s="21"/>
      <c r="EH49" s="21"/>
      <c r="EI49" s="21"/>
      <c r="EJ49" s="21"/>
      <c r="EK49" s="21"/>
      <c r="EL49" s="21"/>
      <c r="EM49" s="21"/>
      <c r="EN49" s="21"/>
      <c r="EO49" s="21"/>
      <c r="EP49" s="21"/>
      <c r="EQ49" s="21"/>
      <c r="ER49" s="21"/>
      <c r="ES49" s="21"/>
      <c r="ET49" s="21"/>
      <c r="EU49" s="21"/>
      <c r="EV49" s="21"/>
      <c r="EW49" s="21"/>
      <c r="EX49" s="21"/>
      <c r="EY49" s="21"/>
      <c r="EZ49" s="21"/>
      <c r="FA49" s="21"/>
      <c r="FB49" s="21"/>
      <c r="FC49" s="21"/>
      <c r="FD49" s="21"/>
      <c r="FE49" s="21"/>
      <c r="FF49" s="21"/>
      <c r="FG49" s="21"/>
      <c r="FH49" s="21"/>
      <c r="FI49" s="21"/>
      <c r="FJ49" s="21"/>
      <c r="FK49" s="21"/>
      <c r="FL49" s="21"/>
      <c r="FM49" s="21"/>
      <c r="FN49" s="21"/>
      <c r="FO49" s="21"/>
      <c r="FP49" s="21"/>
      <c r="FQ49" s="21"/>
      <c r="FR49" s="21"/>
      <c r="FS49" s="21"/>
      <c r="FT49" s="21"/>
      <c r="FU49" s="21"/>
      <c r="FV49" s="21"/>
      <c r="FW49" s="21"/>
      <c r="FX49" s="21"/>
      <c r="FY49" s="21"/>
      <c r="FZ49" s="21"/>
      <c r="GA49" s="21"/>
      <c r="GB49" s="21"/>
      <c r="GC49" s="21"/>
      <c r="GD49" s="21"/>
      <c r="GE49" s="21"/>
      <c r="GF49" s="21"/>
      <c r="GG49" s="21"/>
      <c r="GH49" s="21"/>
      <c r="GI49" s="21"/>
      <c r="GJ49" s="21"/>
      <c r="GK49" s="21"/>
      <c r="GL49" s="21"/>
      <c r="GM49" s="21"/>
      <c r="GN49" s="21"/>
      <c r="GO49" s="21"/>
      <c r="GP49" s="21"/>
      <c r="GQ49" s="21"/>
      <c r="GR49" s="21"/>
      <c r="GS49" s="21"/>
      <c r="GT49" s="21"/>
      <c r="GU49" s="21"/>
      <c r="GV49" s="21"/>
      <c r="GW49" s="21"/>
      <c r="GX49" s="21"/>
      <c r="GY49" s="21"/>
      <c r="GZ49" s="21"/>
      <c r="HA49" s="21"/>
      <c r="HB49" s="21"/>
      <c r="HC49" s="21"/>
      <c r="HD49" s="21"/>
      <c r="HE49" s="21"/>
      <c r="HF49" s="21"/>
      <c r="HG49" s="21"/>
      <c r="HH49" s="21"/>
      <c r="HI49" s="21"/>
      <c r="HJ49" s="21"/>
      <c r="HK49" s="21"/>
      <c r="HL49" s="21"/>
      <c r="HM49" s="21"/>
      <c r="HN49" s="21"/>
      <c r="HO49" s="21"/>
      <c r="HP49" s="21"/>
      <c r="HQ49" s="21"/>
      <c r="HR49" s="21"/>
      <c r="HS49" s="21"/>
      <c r="HT49" s="21"/>
      <c r="HU49" s="21"/>
      <c r="HV49" s="21"/>
      <c r="HW49" s="21"/>
      <c r="HX49" s="21"/>
      <c r="HY49" s="21"/>
    </row>
    <row r="50" spans="1:233" ht="18.5" x14ac:dyDescent="0.45">
      <c r="A50" s="269" t="s">
        <v>80</v>
      </c>
      <c r="B50" s="242">
        <v>49696</v>
      </c>
      <c r="C50" s="243" t="s">
        <v>102</v>
      </c>
      <c r="D50" s="242">
        <v>-33</v>
      </c>
      <c r="E50" s="242" t="s">
        <v>102</v>
      </c>
      <c r="F50" s="242">
        <f t="shared" si="2"/>
        <v>49663</v>
      </c>
      <c r="G50" s="242" t="s">
        <v>102</v>
      </c>
      <c r="H50" s="242">
        <v>80264</v>
      </c>
      <c r="I50" s="242" t="s">
        <v>102</v>
      </c>
      <c r="J50" s="242">
        <v>0</v>
      </c>
      <c r="K50" s="242" t="s">
        <v>102</v>
      </c>
      <c r="L50" s="242">
        <f t="shared" si="3"/>
        <v>80264</v>
      </c>
      <c r="M50" s="242" t="s">
        <v>102</v>
      </c>
      <c r="N50" s="242" t="s">
        <v>102</v>
      </c>
      <c r="O50" s="242">
        <v>4765</v>
      </c>
      <c r="P50" s="242" t="s">
        <v>102</v>
      </c>
      <c r="Q50" s="242">
        <v>5158</v>
      </c>
      <c r="R50" s="242" t="s">
        <v>102</v>
      </c>
      <c r="S50" s="242">
        <v>16322</v>
      </c>
      <c r="T50" s="70" t="s">
        <v>102</v>
      </c>
      <c r="U50" s="70" t="s">
        <v>102</v>
      </c>
      <c r="V50" s="20"/>
      <c r="W50" s="20"/>
      <c r="X50" s="20"/>
      <c r="Y50" s="20"/>
      <c r="Z50" s="20"/>
      <c r="AA50" s="20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  <c r="AM50" s="21"/>
      <c r="AN50" s="21"/>
      <c r="AO50" s="21"/>
      <c r="AP50" s="21"/>
      <c r="AQ50" s="21"/>
      <c r="AR50" s="21"/>
      <c r="AS50" s="21"/>
      <c r="AT50" s="21"/>
      <c r="AU50" s="21"/>
      <c r="AV50" s="21"/>
      <c r="AW50" s="21"/>
      <c r="AX50" s="21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  <c r="BS50" s="21"/>
      <c r="BT50" s="21"/>
      <c r="BU50" s="21"/>
      <c r="BV50" s="21"/>
      <c r="BW50" s="21"/>
      <c r="BX50" s="21"/>
      <c r="BY50" s="21"/>
      <c r="BZ50" s="21"/>
      <c r="CA50" s="21"/>
      <c r="CB50" s="21"/>
      <c r="CC50" s="21"/>
      <c r="CD50" s="21"/>
      <c r="CE50" s="21"/>
      <c r="CF50" s="21"/>
      <c r="CG50" s="21"/>
      <c r="CH50" s="21"/>
      <c r="CI50" s="21"/>
      <c r="CJ50" s="21"/>
      <c r="CK50" s="21"/>
      <c r="CL50" s="21"/>
      <c r="CM50" s="21"/>
      <c r="CN50" s="21"/>
      <c r="CO50" s="21"/>
      <c r="CP50" s="21"/>
      <c r="CQ50" s="21"/>
      <c r="CR50" s="21"/>
      <c r="CS50" s="21"/>
      <c r="CT50" s="21"/>
      <c r="CU50" s="21"/>
      <c r="CV50" s="21"/>
      <c r="CW50" s="21"/>
      <c r="CX50" s="21"/>
      <c r="CY50" s="21"/>
      <c r="CZ50" s="21"/>
      <c r="DA50" s="21"/>
      <c r="DB50" s="21"/>
      <c r="DC50" s="21"/>
      <c r="DD50" s="21"/>
      <c r="DE50" s="21"/>
      <c r="DF50" s="21"/>
      <c r="DG50" s="21"/>
      <c r="DH50" s="21"/>
      <c r="DI50" s="21"/>
      <c r="DJ50" s="21"/>
      <c r="DK50" s="21"/>
      <c r="DL50" s="21"/>
      <c r="DM50" s="21"/>
      <c r="DN50" s="21"/>
      <c r="DO50" s="21"/>
      <c r="DP50" s="21"/>
      <c r="DQ50" s="21"/>
      <c r="DR50" s="21"/>
      <c r="DS50" s="21"/>
      <c r="DT50" s="21"/>
      <c r="DU50" s="21"/>
      <c r="DV50" s="21"/>
      <c r="DW50" s="21"/>
      <c r="DX50" s="21"/>
      <c r="DY50" s="21"/>
      <c r="DZ50" s="21"/>
      <c r="EA50" s="21"/>
      <c r="EB50" s="21"/>
      <c r="EC50" s="21"/>
      <c r="ED50" s="21"/>
      <c r="EE50" s="21"/>
      <c r="EF50" s="21"/>
      <c r="EG50" s="21"/>
      <c r="EH50" s="21"/>
      <c r="EI50" s="21"/>
      <c r="EJ50" s="21"/>
      <c r="EK50" s="21"/>
      <c r="EL50" s="21"/>
      <c r="EM50" s="21"/>
      <c r="EN50" s="21"/>
      <c r="EO50" s="21"/>
      <c r="EP50" s="21"/>
      <c r="EQ50" s="21"/>
      <c r="ER50" s="21"/>
      <c r="ES50" s="21"/>
      <c r="ET50" s="21"/>
      <c r="EU50" s="21"/>
      <c r="EV50" s="21"/>
      <c r="EW50" s="21"/>
      <c r="EX50" s="21"/>
      <c r="EY50" s="21"/>
      <c r="EZ50" s="21"/>
      <c r="FA50" s="21"/>
      <c r="FB50" s="21"/>
      <c r="FC50" s="21"/>
      <c r="FD50" s="21"/>
      <c r="FE50" s="21"/>
      <c r="FF50" s="21"/>
      <c r="FG50" s="21"/>
      <c r="FH50" s="21"/>
      <c r="FI50" s="21"/>
      <c r="FJ50" s="21"/>
      <c r="FK50" s="21"/>
      <c r="FL50" s="21"/>
      <c r="FM50" s="21"/>
      <c r="FN50" s="21"/>
      <c r="FO50" s="21"/>
      <c r="FP50" s="21"/>
      <c r="FQ50" s="21"/>
      <c r="FR50" s="21"/>
      <c r="FS50" s="21"/>
      <c r="FT50" s="21"/>
      <c r="FU50" s="21"/>
      <c r="FV50" s="21"/>
      <c r="FW50" s="21"/>
      <c r="FX50" s="21"/>
      <c r="FY50" s="21"/>
      <c r="FZ50" s="21"/>
      <c r="GA50" s="21"/>
      <c r="GB50" s="21"/>
      <c r="GC50" s="21"/>
      <c r="GD50" s="21"/>
      <c r="GE50" s="21"/>
      <c r="GF50" s="21"/>
      <c r="GG50" s="21"/>
      <c r="GH50" s="21"/>
      <c r="GI50" s="21"/>
      <c r="GJ50" s="21"/>
      <c r="GK50" s="21"/>
      <c r="GL50" s="21"/>
      <c r="GM50" s="21"/>
      <c r="GN50" s="21"/>
      <c r="GO50" s="21"/>
      <c r="GP50" s="21"/>
      <c r="GQ50" s="21"/>
      <c r="GR50" s="21"/>
      <c r="GS50" s="21"/>
      <c r="GT50" s="21"/>
      <c r="GU50" s="21"/>
      <c r="GV50" s="21"/>
      <c r="GW50" s="21"/>
      <c r="GX50" s="21"/>
      <c r="GY50" s="21"/>
      <c r="GZ50" s="21"/>
      <c r="HA50" s="21"/>
      <c r="HB50" s="21"/>
      <c r="HC50" s="21"/>
      <c r="HD50" s="21"/>
      <c r="HE50" s="21"/>
      <c r="HF50" s="21"/>
      <c r="HG50" s="21"/>
      <c r="HH50" s="21"/>
      <c r="HI50" s="21"/>
      <c r="HJ50" s="21"/>
      <c r="HK50" s="21"/>
      <c r="HL50" s="21"/>
      <c r="HM50" s="21"/>
      <c r="HN50" s="21"/>
      <c r="HO50" s="21"/>
      <c r="HP50" s="21"/>
      <c r="HQ50" s="21"/>
      <c r="HR50" s="21"/>
      <c r="HS50" s="21"/>
      <c r="HT50" s="21"/>
      <c r="HU50" s="21"/>
      <c r="HV50" s="21"/>
      <c r="HW50" s="21"/>
      <c r="HX50" s="21"/>
      <c r="HY50" s="21"/>
    </row>
    <row r="51" spans="1:233" ht="18.5" x14ac:dyDescent="0.45">
      <c r="A51" s="269" t="s">
        <v>81</v>
      </c>
      <c r="B51" s="242">
        <f>[1]ActualDeliveries!E$103</f>
        <v>16156</v>
      </c>
      <c r="C51" s="242" t="s">
        <v>102</v>
      </c>
      <c r="D51" s="242">
        <f>[1]ActualDeliveries!E$125</f>
        <v>0</v>
      </c>
      <c r="E51" s="242" t="s">
        <v>102</v>
      </c>
      <c r="F51" s="242">
        <f t="shared" si="2"/>
        <v>16156</v>
      </c>
      <c r="G51" s="242" t="s">
        <v>102</v>
      </c>
      <c r="H51" s="242">
        <f>[1]ActualDeliveries!E$104</f>
        <v>38185</v>
      </c>
      <c r="I51" s="242" t="s">
        <v>102</v>
      </c>
      <c r="J51" s="242">
        <f>[1]ActualDeliveries!E$126</f>
        <v>3352</v>
      </c>
      <c r="K51" s="242" t="s">
        <v>102</v>
      </c>
      <c r="L51" s="242">
        <f t="shared" si="3"/>
        <v>41537</v>
      </c>
      <c r="M51" s="242" t="s">
        <v>102</v>
      </c>
      <c r="N51" s="242" t="s">
        <v>102</v>
      </c>
      <c r="O51" s="242">
        <f>[1]ActualDeliveries!E$105</f>
        <v>1695</v>
      </c>
      <c r="P51" s="242" t="s">
        <v>102</v>
      </c>
      <c r="Q51" s="242">
        <f>[1]ActualDeliveries!E$106</f>
        <v>3303</v>
      </c>
      <c r="R51" s="242" t="s">
        <v>102</v>
      </c>
      <c r="S51" s="242">
        <f>[1]ActualDeliveries!E$107</f>
        <v>5642</v>
      </c>
      <c r="T51" s="70" t="s">
        <v>102</v>
      </c>
      <c r="U51" s="70" t="s">
        <v>102</v>
      </c>
      <c r="V51" s="20"/>
      <c r="W51" s="20"/>
      <c r="X51" s="20"/>
      <c r="Y51" s="20"/>
      <c r="Z51" s="20"/>
      <c r="AA51" s="20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</row>
    <row r="52" spans="1:233" ht="18.5" x14ac:dyDescent="0.45">
      <c r="A52" s="269" t="s">
        <v>82</v>
      </c>
      <c r="B52" s="242">
        <f t="shared" ref="B52:B59" si="4">$B$62</f>
        <v>31445</v>
      </c>
      <c r="C52" s="242" t="s">
        <v>102</v>
      </c>
      <c r="D52" s="242">
        <f t="shared" ref="D52:D59" si="5">$D$62</f>
        <v>11679.57</v>
      </c>
      <c r="E52" s="242" t="s">
        <v>102</v>
      </c>
      <c r="F52" s="242">
        <f t="shared" si="2"/>
        <v>43124.57</v>
      </c>
      <c r="G52" s="242" t="s">
        <v>102</v>
      </c>
      <c r="H52" s="242">
        <f t="shared" ref="H52:H59" si="6">$H$62</f>
        <v>61718.57</v>
      </c>
      <c r="I52" s="242" t="s">
        <v>102</v>
      </c>
      <c r="J52" s="242">
        <f t="shared" ref="J52:J59" si="7">$J$62</f>
        <v>14136.43</v>
      </c>
      <c r="K52" s="242" t="s">
        <v>102</v>
      </c>
      <c r="L52" s="242">
        <f t="shared" si="3"/>
        <v>75855</v>
      </c>
      <c r="M52" s="242" t="s">
        <v>102</v>
      </c>
      <c r="N52" s="242" t="s">
        <v>102</v>
      </c>
      <c r="O52" s="242">
        <f t="shared" ref="O52:O59" si="8">$O$62</f>
        <v>6137.57</v>
      </c>
      <c r="P52" s="242" t="s">
        <v>102</v>
      </c>
      <c r="Q52" s="242">
        <f t="shared" ref="Q52:Q60" si="9">$Q$62</f>
        <v>4502.8599999999997</v>
      </c>
      <c r="R52" s="242" t="s">
        <v>102</v>
      </c>
      <c r="S52" s="242">
        <f t="shared" ref="S52:S59" si="10">$S$62</f>
        <v>16220.86</v>
      </c>
      <c r="T52" s="70" t="s">
        <v>102</v>
      </c>
      <c r="U52" s="70" t="s">
        <v>102</v>
      </c>
      <c r="V52" s="20"/>
      <c r="W52" s="20"/>
      <c r="X52" s="20"/>
      <c r="Y52" s="20"/>
      <c r="Z52" s="20"/>
      <c r="AA52" s="20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21"/>
      <c r="AQ52" s="21"/>
      <c r="AR52" s="21"/>
      <c r="AS52" s="21"/>
      <c r="AT52" s="21"/>
      <c r="AU52" s="21"/>
      <c r="AV52" s="21"/>
      <c r="AW52" s="21"/>
      <c r="AX52" s="21"/>
      <c r="AY52" s="21"/>
      <c r="AZ52" s="21"/>
      <c r="BA52" s="21"/>
      <c r="BB52" s="21"/>
      <c r="BC52" s="21"/>
      <c r="BD52" s="21"/>
      <c r="BE52" s="21"/>
      <c r="BF52" s="21"/>
      <c r="BG52" s="21"/>
      <c r="BH52" s="21"/>
      <c r="BI52" s="21"/>
      <c r="BJ52" s="21"/>
      <c r="BK52" s="21"/>
      <c r="BL52" s="21"/>
      <c r="BM52" s="21"/>
      <c r="BN52" s="21"/>
      <c r="BO52" s="21"/>
      <c r="BP52" s="21"/>
      <c r="BQ52" s="21"/>
      <c r="BR52" s="21"/>
      <c r="BS52" s="21"/>
      <c r="BT52" s="21"/>
      <c r="BU52" s="21"/>
      <c r="BV52" s="21"/>
      <c r="BW52" s="21"/>
      <c r="BX52" s="21"/>
      <c r="BY52" s="21"/>
      <c r="BZ52" s="21"/>
      <c r="CA52" s="21"/>
      <c r="CB52" s="21"/>
      <c r="CC52" s="21"/>
      <c r="CD52" s="21"/>
      <c r="CE52" s="21"/>
      <c r="CF52" s="21"/>
      <c r="CG52" s="21"/>
      <c r="CH52" s="21"/>
      <c r="CI52" s="21"/>
      <c r="CJ52" s="21"/>
      <c r="CK52" s="21"/>
      <c r="CL52" s="21"/>
      <c r="CM52" s="21"/>
      <c r="CN52" s="21"/>
      <c r="CO52" s="21"/>
      <c r="CP52" s="21"/>
      <c r="CQ52" s="21"/>
      <c r="CR52" s="21"/>
      <c r="CS52" s="21"/>
      <c r="CT52" s="21"/>
      <c r="CU52" s="21"/>
      <c r="CV52" s="21"/>
      <c r="CW52" s="21"/>
      <c r="CX52" s="21"/>
      <c r="CY52" s="21"/>
      <c r="CZ52" s="21"/>
      <c r="DA52" s="21"/>
      <c r="DB52" s="21"/>
      <c r="DC52" s="21"/>
      <c r="DD52" s="21"/>
      <c r="DE52" s="21"/>
      <c r="DF52" s="21"/>
      <c r="DG52" s="21"/>
      <c r="DH52" s="21"/>
      <c r="DI52" s="21"/>
      <c r="DJ52" s="21"/>
      <c r="DK52" s="21"/>
      <c r="DL52" s="21"/>
      <c r="DM52" s="21"/>
      <c r="DN52" s="21"/>
      <c r="DO52" s="21"/>
      <c r="DP52" s="21"/>
      <c r="DQ52" s="21"/>
      <c r="DR52" s="21"/>
      <c r="DS52" s="21"/>
      <c r="DT52" s="21"/>
      <c r="DU52" s="21"/>
      <c r="DV52" s="21"/>
      <c r="DW52" s="21"/>
      <c r="DX52" s="21"/>
      <c r="DY52" s="21"/>
      <c r="DZ52" s="21"/>
      <c r="EA52" s="21"/>
      <c r="EB52" s="21"/>
      <c r="EC52" s="21"/>
      <c r="ED52" s="21"/>
      <c r="EE52" s="21"/>
      <c r="EF52" s="21"/>
      <c r="EG52" s="21"/>
      <c r="EH52" s="21"/>
      <c r="EI52" s="21"/>
      <c r="EJ52" s="21"/>
      <c r="EK52" s="21"/>
      <c r="EL52" s="21"/>
      <c r="EM52" s="21"/>
      <c r="EN52" s="21"/>
      <c r="EO52" s="21"/>
      <c r="EP52" s="21"/>
      <c r="EQ52" s="21"/>
      <c r="ER52" s="21"/>
      <c r="ES52" s="21"/>
      <c r="ET52" s="21"/>
      <c r="EU52" s="21"/>
      <c r="EV52" s="21"/>
      <c r="EW52" s="21"/>
      <c r="EX52" s="21"/>
      <c r="EY52" s="21"/>
      <c r="EZ52" s="21"/>
      <c r="FA52" s="21"/>
      <c r="FB52" s="21"/>
      <c r="FC52" s="21"/>
      <c r="FD52" s="21"/>
      <c r="FE52" s="21"/>
      <c r="FF52" s="21"/>
      <c r="FG52" s="21"/>
      <c r="FH52" s="21"/>
      <c r="FI52" s="21"/>
      <c r="FJ52" s="21"/>
      <c r="FK52" s="21"/>
      <c r="FL52" s="21"/>
      <c r="FM52" s="21"/>
      <c r="FN52" s="21"/>
      <c r="FO52" s="21"/>
      <c r="FP52" s="21"/>
      <c r="FQ52" s="21"/>
      <c r="FR52" s="21"/>
      <c r="FS52" s="21"/>
      <c r="FT52" s="21"/>
      <c r="FU52" s="21"/>
      <c r="FV52" s="21"/>
      <c r="FW52" s="21"/>
      <c r="FX52" s="21"/>
      <c r="FY52" s="21"/>
      <c r="FZ52" s="21"/>
      <c r="GA52" s="21"/>
      <c r="GB52" s="21"/>
      <c r="GC52" s="21"/>
      <c r="GD52" s="21"/>
      <c r="GE52" s="21"/>
      <c r="GF52" s="21"/>
      <c r="GG52" s="21"/>
      <c r="GH52" s="21"/>
      <c r="GI52" s="21"/>
      <c r="GJ52" s="21"/>
      <c r="GK52" s="21"/>
      <c r="GL52" s="21"/>
      <c r="GM52" s="21"/>
      <c r="GN52" s="21"/>
      <c r="GO52" s="21"/>
      <c r="GP52" s="21"/>
      <c r="GQ52" s="21"/>
      <c r="GR52" s="21"/>
      <c r="GS52" s="21"/>
      <c r="GT52" s="21"/>
      <c r="GU52" s="21"/>
      <c r="GV52" s="21"/>
      <c r="GW52" s="21"/>
      <c r="GX52" s="21"/>
      <c r="GY52" s="21"/>
      <c r="GZ52" s="21"/>
      <c r="HA52" s="21"/>
      <c r="HB52" s="21"/>
      <c r="HC52" s="21"/>
      <c r="HD52" s="21"/>
      <c r="HE52" s="21"/>
      <c r="HF52" s="21"/>
      <c r="HG52" s="21"/>
      <c r="HH52" s="21"/>
      <c r="HI52" s="21"/>
      <c r="HJ52" s="21"/>
      <c r="HK52" s="21"/>
      <c r="HL52" s="21"/>
      <c r="HM52" s="21"/>
      <c r="HN52" s="21"/>
      <c r="HO52" s="21"/>
      <c r="HP52" s="21"/>
      <c r="HQ52" s="21"/>
      <c r="HR52" s="21"/>
      <c r="HS52" s="21"/>
      <c r="HT52" s="21"/>
      <c r="HU52" s="21"/>
      <c r="HV52" s="21"/>
      <c r="HW52" s="21"/>
      <c r="HX52" s="21"/>
      <c r="HY52" s="21"/>
    </row>
    <row r="53" spans="1:233" ht="18.5" x14ac:dyDescent="0.45">
      <c r="A53" s="269" t="s">
        <v>83</v>
      </c>
      <c r="B53" s="242">
        <f t="shared" si="4"/>
        <v>31445</v>
      </c>
      <c r="C53" s="242" t="s">
        <v>102</v>
      </c>
      <c r="D53" s="242">
        <f t="shared" si="5"/>
        <v>11679.57</v>
      </c>
      <c r="E53" s="242" t="s">
        <v>102</v>
      </c>
      <c r="F53" s="242">
        <f t="shared" si="2"/>
        <v>43124.57</v>
      </c>
      <c r="G53" s="242" t="s">
        <v>102</v>
      </c>
      <c r="H53" s="242">
        <f t="shared" si="6"/>
        <v>61718.57</v>
      </c>
      <c r="I53" s="242" t="s">
        <v>102</v>
      </c>
      <c r="J53" s="242">
        <f t="shared" si="7"/>
        <v>14136.43</v>
      </c>
      <c r="K53" s="242" t="s">
        <v>102</v>
      </c>
      <c r="L53" s="242">
        <f t="shared" si="3"/>
        <v>75855</v>
      </c>
      <c r="M53" s="242" t="s">
        <v>102</v>
      </c>
      <c r="N53" s="242" t="s">
        <v>102</v>
      </c>
      <c r="O53" s="242">
        <f t="shared" si="8"/>
        <v>6137.57</v>
      </c>
      <c r="P53" s="242" t="s">
        <v>102</v>
      </c>
      <c r="Q53" s="242">
        <f t="shared" si="9"/>
        <v>4502.8599999999997</v>
      </c>
      <c r="R53" s="242" t="s">
        <v>102</v>
      </c>
      <c r="S53" s="242">
        <f t="shared" si="10"/>
        <v>16220.86</v>
      </c>
      <c r="T53" s="70" t="s">
        <v>102</v>
      </c>
      <c r="U53" s="70" t="s">
        <v>102</v>
      </c>
      <c r="V53" s="20"/>
      <c r="W53" s="20"/>
      <c r="X53" s="20"/>
      <c r="Y53" s="20"/>
      <c r="Z53" s="20"/>
      <c r="AA53" s="20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  <c r="AM53" s="21"/>
      <c r="AN53" s="21"/>
      <c r="AO53" s="21"/>
      <c r="AP53" s="21"/>
      <c r="AQ53" s="21"/>
      <c r="AR53" s="21"/>
      <c r="AS53" s="21"/>
      <c r="AT53" s="21"/>
      <c r="AU53" s="21"/>
      <c r="AV53" s="21"/>
      <c r="AW53" s="21"/>
      <c r="AX53" s="21"/>
      <c r="AY53" s="21"/>
      <c r="AZ53" s="21"/>
      <c r="BA53" s="21"/>
      <c r="BB53" s="21"/>
      <c r="BC53" s="21"/>
      <c r="BD53" s="21"/>
      <c r="BE53" s="21"/>
      <c r="BF53" s="21"/>
      <c r="BG53" s="21"/>
      <c r="BH53" s="21"/>
      <c r="BI53" s="21"/>
      <c r="BJ53" s="21"/>
      <c r="BK53" s="21"/>
      <c r="BL53" s="21"/>
      <c r="BM53" s="21"/>
      <c r="BN53" s="21"/>
      <c r="BO53" s="21"/>
      <c r="BP53" s="21"/>
      <c r="BQ53" s="21"/>
      <c r="BR53" s="21"/>
      <c r="BS53" s="21"/>
      <c r="BT53" s="21"/>
      <c r="BU53" s="21"/>
      <c r="BV53" s="21"/>
      <c r="BW53" s="21"/>
      <c r="BX53" s="21"/>
      <c r="BY53" s="21"/>
      <c r="BZ53" s="21"/>
      <c r="CA53" s="21"/>
      <c r="CB53" s="21"/>
      <c r="CC53" s="21"/>
      <c r="CD53" s="21"/>
      <c r="CE53" s="21"/>
      <c r="CF53" s="21"/>
      <c r="CG53" s="21"/>
      <c r="CH53" s="21"/>
      <c r="CI53" s="21"/>
      <c r="CJ53" s="21"/>
      <c r="CK53" s="21"/>
      <c r="CL53" s="21"/>
      <c r="CM53" s="21"/>
      <c r="CN53" s="21"/>
      <c r="CO53" s="21"/>
      <c r="CP53" s="21"/>
      <c r="CQ53" s="21"/>
      <c r="CR53" s="21"/>
      <c r="CS53" s="21"/>
      <c r="CT53" s="21"/>
      <c r="CU53" s="21"/>
      <c r="CV53" s="21"/>
      <c r="CW53" s="21"/>
      <c r="CX53" s="21"/>
      <c r="CY53" s="21"/>
      <c r="CZ53" s="21"/>
      <c r="DA53" s="21"/>
      <c r="DB53" s="21"/>
      <c r="DC53" s="21"/>
      <c r="DD53" s="21"/>
      <c r="DE53" s="21"/>
      <c r="DF53" s="21"/>
      <c r="DG53" s="21"/>
      <c r="DH53" s="21"/>
      <c r="DI53" s="21"/>
      <c r="DJ53" s="21"/>
      <c r="DK53" s="21"/>
      <c r="DL53" s="21"/>
      <c r="DM53" s="21"/>
      <c r="DN53" s="21"/>
      <c r="DO53" s="21"/>
      <c r="DP53" s="21"/>
      <c r="DQ53" s="21"/>
      <c r="DR53" s="21"/>
      <c r="DS53" s="21"/>
      <c r="DT53" s="21"/>
      <c r="DU53" s="21"/>
      <c r="DV53" s="21"/>
      <c r="DW53" s="21"/>
      <c r="DX53" s="21"/>
      <c r="DY53" s="21"/>
      <c r="DZ53" s="21"/>
      <c r="EA53" s="21"/>
      <c r="EB53" s="21"/>
      <c r="EC53" s="21"/>
      <c r="ED53" s="21"/>
      <c r="EE53" s="21"/>
      <c r="EF53" s="21"/>
      <c r="EG53" s="21"/>
      <c r="EH53" s="21"/>
      <c r="EI53" s="21"/>
      <c r="EJ53" s="21"/>
      <c r="EK53" s="21"/>
      <c r="EL53" s="21"/>
      <c r="EM53" s="21"/>
      <c r="EN53" s="21"/>
      <c r="EO53" s="21"/>
      <c r="EP53" s="21"/>
      <c r="EQ53" s="21"/>
      <c r="ER53" s="21"/>
      <c r="ES53" s="21"/>
      <c r="ET53" s="21"/>
      <c r="EU53" s="21"/>
      <c r="EV53" s="21"/>
      <c r="EW53" s="21"/>
      <c r="EX53" s="21"/>
      <c r="EY53" s="21"/>
      <c r="EZ53" s="21"/>
      <c r="FA53" s="21"/>
      <c r="FB53" s="21"/>
      <c r="FC53" s="21"/>
      <c r="FD53" s="21"/>
      <c r="FE53" s="21"/>
      <c r="FF53" s="21"/>
      <c r="FG53" s="21"/>
      <c r="FH53" s="21"/>
      <c r="FI53" s="21"/>
      <c r="FJ53" s="21"/>
      <c r="FK53" s="21"/>
      <c r="FL53" s="21"/>
      <c r="FM53" s="21"/>
      <c r="FN53" s="21"/>
      <c r="FO53" s="21"/>
      <c r="FP53" s="21"/>
      <c r="FQ53" s="21"/>
      <c r="FR53" s="21"/>
      <c r="FS53" s="21"/>
      <c r="FT53" s="21"/>
      <c r="FU53" s="21"/>
      <c r="FV53" s="21"/>
      <c r="FW53" s="21"/>
      <c r="FX53" s="21"/>
      <c r="FY53" s="21"/>
      <c r="FZ53" s="21"/>
      <c r="GA53" s="21"/>
      <c r="GB53" s="21"/>
      <c r="GC53" s="21"/>
      <c r="GD53" s="21"/>
      <c r="GE53" s="21"/>
      <c r="GF53" s="21"/>
      <c r="GG53" s="21"/>
      <c r="GH53" s="21"/>
      <c r="GI53" s="21"/>
      <c r="GJ53" s="21"/>
      <c r="GK53" s="21"/>
      <c r="GL53" s="21"/>
      <c r="GM53" s="21"/>
      <c r="GN53" s="21"/>
      <c r="GO53" s="21"/>
      <c r="GP53" s="21"/>
      <c r="GQ53" s="21"/>
      <c r="GR53" s="21"/>
      <c r="GS53" s="21"/>
      <c r="GT53" s="21"/>
      <c r="GU53" s="21"/>
      <c r="GV53" s="21"/>
      <c r="GW53" s="21"/>
      <c r="GX53" s="21"/>
      <c r="GY53" s="21"/>
      <c r="GZ53" s="21"/>
      <c r="HA53" s="21"/>
      <c r="HB53" s="21"/>
      <c r="HC53" s="21"/>
      <c r="HD53" s="21"/>
      <c r="HE53" s="21"/>
      <c r="HF53" s="21"/>
      <c r="HG53" s="21"/>
      <c r="HH53" s="21"/>
      <c r="HI53" s="21"/>
      <c r="HJ53" s="21"/>
      <c r="HK53" s="21"/>
      <c r="HL53" s="21"/>
      <c r="HM53" s="21"/>
      <c r="HN53" s="21"/>
      <c r="HO53" s="21"/>
      <c r="HP53" s="21"/>
      <c r="HQ53" s="21"/>
      <c r="HR53" s="21"/>
      <c r="HS53" s="21"/>
      <c r="HT53" s="21"/>
      <c r="HU53" s="21"/>
      <c r="HV53" s="21"/>
      <c r="HW53" s="21"/>
      <c r="HX53" s="21"/>
      <c r="HY53" s="21"/>
    </row>
    <row r="54" spans="1:233" ht="18.5" x14ac:dyDescent="0.45">
      <c r="A54" s="269" t="s">
        <v>84</v>
      </c>
      <c r="B54" s="242">
        <f t="shared" si="4"/>
        <v>31445</v>
      </c>
      <c r="C54" s="242" t="s">
        <v>102</v>
      </c>
      <c r="D54" s="242">
        <f t="shared" si="5"/>
        <v>11679.57</v>
      </c>
      <c r="E54" s="242" t="s">
        <v>102</v>
      </c>
      <c r="F54" s="242">
        <f t="shared" si="2"/>
        <v>43124.57</v>
      </c>
      <c r="G54" s="242" t="s">
        <v>102</v>
      </c>
      <c r="H54" s="242">
        <f t="shared" si="6"/>
        <v>61718.57</v>
      </c>
      <c r="I54" s="242" t="s">
        <v>102</v>
      </c>
      <c r="J54" s="242">
        <f t="shared" si="7"/>
        <v>14136.43</v>
      </c>
      <c r="K54" s="242" t="s">
        <v>102</v>
      </c>
      <c r="L54" s="242">
        <f t="shared" si="3"/>
        <v>75855</v>
      </c>
      <c r="M54" s="242" t="s">
        <v>102</v>
      </c>
      <c r="N54" s="242" t="s">
        <v>102</v>
      </c>
      <c r="O54" s="242">
        <f t="shared" si="8"/>
        <v>6137.57</v>
      </c>
      <c r="P54" s="242" t="s">
        <v>102</v>
      </c>
      <c r="Q54" s="242">
        <f t="shared" si="9"/>
        <v>4502.8599999999997</v>
      </c>
      <c r="R54" s="242" t="s">
        <v>102</v>
      </c>
      <c r="S54" s="242">
        <f t="shared" si="10"/>
        <v>16220.86</v>
      </c>
      <c r="T54" s="70" t="s">
        <v>102</v>
      </c>
      <c r="U54" s="70" t="s">
        <v>102</v>
      </c>
      <c r="V54" s="20"/>
      <c r="W54" s="20"/>
      <c r="X54" s="20"/>
      <c r="Y54" s="20"/>
      <c r="Z54" s="20"/>
      <c r="AA54" s="20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  <c r="AM54" s="21"/>
      <c r="AN54" s="21"/>
      <c r="AO54" s="21"/>
      <c r="AP54" s="21"/>
      <c r="AQ54" s="21"/>
      <c r="AR54" s="21"/>
      <c r="AS54" s="21"/>
      <c r="AT54" s="21"/>
      <c r="AU54" s="21"/>
      <c r="AV54" s="21"/>
      <c r="AW54" s="21"/>
      <c r="AX54" s="21"/>
      <c r="AY54" s="21"/>
      <c r="AZ54" s="21"/>
      <c r="BA54" s="21"/>
      <c r="BB54" s="21"/>
      <c r="BC54" s="21"/>
      <c r="BD54" s="21"/>
      <c r="BE54" s="21"/>
      <c r="BF54" s="21"/>
      <c r="BG54" s="21"/>
      <c r="BH54" s="21"/>
      <c r="BI54" s="21"/>
      <c r="BJ54" s="21"/>
      <c r="BK54" s="21"/>
      <c r="BL54" s="21"/>
      <c r="BM54" s="21"/>
      <c r="BN54" s="21"/>
      <c r="BO54" s="21"/>
      <c r="BP54" s="21"/>
      <c r="BQ54" s="21"/>
      <c r="BR54" s="21"/>
      <c r="BS54" s="21"/>
      <c r="BT54" s="21"/>
      <c r="BU54" s="21"/>
      <c r="BV54" s="21"/>
      <c r="BW54" s="21"/>
      <c r="BX54" s="21"/>
      <c r="BY54" s="21"/>
      <c r="BZ54" s="21"/>
      <c r="CA54" s="21"/>
      <c r="CB54" s="21"/>
      <c r="CC54" s="21"/>
      <c r="CD54" s="21"/>
      <c r="CE54" s="21"/>
      <c r="CF54" s="21"/>
      <c r="CG54" s="21"/>
      <c r="CH54" s="21"/>
      <c r="CI54" s="21"/>
      <c r="CJ54" s="21"/>
      <c r="CK54" s="21"/>
      <c r="CL54" s="21"/>
      <c r="CM54" s="21"/>
      <c r="CN54" s="21"/>
      <c r="CO54" s="21"/>
      <c r="CP54" s="21"/>
      <c r="CQ54" s="21"/>
      <c r="CR54" s="21"/>
      <c r="CS54" s="21"/>
      <c r="CT54" s="21"/>
      <c r="CU54" s="21"/>
      <c r="CV54" s="21"/>
      <c r="CW54" s="21"/>
      <c r="CX54" s="21"/>
      <c r="CY54" s="21"/>
      <c r="CZ54" s="21"/>
      <c r="DA54" s="21"/>
      <c r="DB54" s="21"/>
      <c r="DC54" s="21"/>
      <c r="DD54" s="21"/>
      <c r="DE54" s="21"/>
      <c r="DF54" s="21"/>
      <c r="DG54" s="21"/>
      <c r="DH54" s="21"/>
      <c r="DI54" s="21"/>
      <c r="DJ54" s="21"/>
      <c r="DK54" s="21"/>
      <c r="DL54" s="21"/>
      <c r="DM54" s="21"/>
      <c r="DN54" s="21"/>
      <c r="DO54" s="21"/>
      <c r="DP54" s="21"/>
      <c r="DQ54" s="21"/>
      <c r="DR54" s="21"/>
      <c r="DS54" s="21"/>
      <c r="DT54" s="21"/>
      <c r="DU54" s="21"/>
      <c r="DV54" s="21"/>
      <c r="DW54" s="21"/>
      <c r="DX54" s="21"/>
      <c r="DY54" s="21"/>
      <c r="DZ54" s="21"/>
      <c r="EA54" s="21"/>
      <c r="EB54" s="21"/>
      <c r="EC54" s="21"/>
      <c r="ED54" s="21"/>
      <c r="EE54" s="21"/>
      <c r="EF54" s="21"/>
      <c r="EG54" s="21"/>
      <c r="EH54" s="21"/>
      <c r="EI54" s="21"/>
      <c r="EJ54" s="21"/>
      <c r="EK54" s="21"/>
      <c r="EL54" s="21"/>
      <c r="EM54" s="21"/>
      <c r="EN54" s="21"/>
      <c r="EO54" s="21"/>
      <c r="EP54" s="21"/>
      <c r="EQ54" s="21"/>
      <c r="ER54" s="21"/>
      <c r="ES54" s="21"/>
      <c r="ET54" s="21"/>
      <c r="EU54" s="21"/>
      <c r="EV54" s="21"/>
      <c r="EW54" s="21"/>
      <c r="EX54" s="21"/>
      <c r="EY54" s="21"/>
      <c r="EZ54" s="21"/>
      <c r="FA54" s="21"/>
      <c r="FB54" s="21"/>
      <c r="FC54" s="21"/>
      <c r="FD54" s="21"/>
      <c r="FE54" s="21"/>
      <c r="FF54" s="21"/>
      <c r="FG54" s="21"/>
      <c r="FH54" s="21"/>
      <c r="FI54" s="21"/>
      <c r="FJ54" s="21"/>
      <c r="FK54" s="21"/>
      <c r="FL54" s="21"/>
      <c r="FM54" s="21"/>
      <c r="FN54" s="21"/>
      <c r="FO54" s="21"/>
      <c r="FP54" s="21"/>
      <c r="FQ54" s="21"/>
      <c r="FR54" s="21"/>
      <c r="FS54" s="21"/>
      <c r="FT54" s="21"/>
      <c r="FU54" s="21"/>
      <c r="FV54" s="21"/>
      <c r="FW54" s="21"/>
      <c r="FX54" s="21"/>
      <c r="FY54" s="21"/>
      <c r="FZ54" s="21"/>
      <c r="GA54" s="21"/>
      <c r="GB54" s="21"/>
      <c r="GC54" s="21"/>
      <c r="GD54" s="21"/>
      <c r="GE54" s="21"/>
      <c r="GF54" s="21"/>
      <c r="GG54" s="21"/>
      <c r="GH54" s="21"/>
      <c r="GI54" s="21"/>
      <c r="GJ54" s="21"/>
      <c r="GK54" s="21"/>
      <c r="GL54" s="21"/>
      <c r="GM54" s="21"/>
      <c r="GN54" s="21"/>
      <c r="GO54" s="21"/>
      <c r="GP54" s="21"/>
      <c r="GQ54" s="21"/>
      <c r="GR54" s="21"/>
      <c r="GS54" s="21"/>
      <c r="GT54" s="21"/>
      <c r="GU54" s="21"/>
      <c r="GV54" s="21"/>
      <c r="GW54" s="21"/>
      <c r="GX54" s="21"/>
      <c r="GY54" s="21"/>
      <c r="GZ54" s="21"/>
      <c r="HA54" s="21"/>
      <c r="HB54" s="21"/>
      <c r="HC54" s="21"/>
      <c r="HD54" s="21"/>
      <c r="HE54" s="21"/>
      <c r="HF54" s="21"/>
      <c r="HG54" s="21"/>
      <c r="HH54" s="21"/>
      <c r="HI54" s="21"/>
      <c r="HJ54" s="21"/>
      <c r="HK54" s="21"/>
      <c r="HL54" s="21"/>
      <c r="HM54" s="21"/>
      <c r="HN54" s="21"/>
      <c r="HO54" s="21"/>
      <c r="HP54" s="21"/>
      <c r="HQ54" s="21"/>
      <c r="HR54" s="21"/>
      <c r="HS54" s="21"/>
      <c r="HT54" s="21"/>
      <c r="HU54" s="21"/>
      <c r="HV54" s="21"/>
      <c r="HW54" s="21"/>
      <c r="HX54" s="21"/>
      <c r="HY54" s="21"/>
    </row>
    <row r="55" spans="1:233" ht="18.5" x14ac:dyDescent="0.45">
      <c r="A55" s="269" t="s">
        <v>85</v>
      </c>
      <c r="B55" s="242">
        <f t="shared" si="4"/>
        <v>31445</v>
      </c>
      <c r="C55" s="242" t="s">
        <v>102</v>
      </c>
      <c r="D55" s="242">
        <f t="shared" si="5"/>
        <v>11679.57</v>
      </c>
      <c r="E55" s="242" t="s">
        <v>102</v>
      </c>
      <c r="F55" s="242">
        <f t="shared" si="2"/>
        <v>43124.57</v>
      </c>
      <c r="G55" s="242" t="s">
        <v>102</v>
      </c>
      <c r="H55" s="242">
        <f t="shared" si="6"/>
        <v>61718.57</v>
      </c>
      <c r="I55" s="242" t="s">
        <v>102</v>
      </c>
      <c r="J55" s="242">
        <f t="shared" si="7"/>
        <v>14136.43</v>
      </c>
      <c r="K55" s="242" t="s">
        <v>102</v>
      </c>
      <c r="L55" s="242">
        <f t="shared" si="3"/>
        <v>75855</v>
      </c>
      <c r="M55" s="242" t="s">
        <v>102</v>
      </c>
      <c r="N55" s="242" t="s">
        <v>102</v>
      </c>
      <c r="O55" s="242">
        <f t="shared" si="8"/>
        <v>6137.57</v>
      </c>
      <c r="P55" s="242" t="s">
        <v>102</v>
      </c>
      <c r="Q55" s="242">
        <f t="shared" si="9"/>
        <v>4502.8599999999997</v>
      </c>
      <c r="R55" s="242" t="s">
        <v>102</v>
      </c>
      <c r="S55" s="242">
        <f t="shared" si="10"/>
        <v>16220.86</v>
      </c>
      <c r="T55" s="70" t="s">
        <v>102</v>
      </c>
      <c r="U55" s="70" t="s">
        <v>102</v>
      </c>
      <c r="V55" s="20"/>
      <c r="W55" s="20"/>
      <c r="X55" s="20"/>
      <c r="Y55" s="20"/>
      <c r="Z55" s="20"/>
      <c r="AA55" s="20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</row>
    <row r="56" spans="1:233" ht="18.5" x14ac:dyDescent="0.45">
      <c r="A56" s="269" t="s">
        <v>86</v>
      </c>
      <c r="B56" s="242">
        <f t="shared" si="4"/>
        <v>31445</v>
      </c>
      <c r="C56" s="242" t="s">
        <v>102</v>
      </c>
      <c r="D56" s="242">
        <f t="shared" si="5"/>
        <v>11679.57</v>
      </c>
      <c r="E56" s="242" t="s">
        <v>102</v>
      </c>
      <c r="F56" s="242">
        <f t="shared" si="2"/>
        <v>43124.57</v>
      </c>
      <c r="G56" s="242" t="s">
        <v>102</v>
      </c>
      <c r="H56" s="242">
        <f t="shared" si="6"/>
        <v>61718.57</v>
      </c>
      <c r="I56" s="242" t="s">
        <v>102</v>
      </c>
      <c r="J56" s="242">
        <f t="shared" si="7"/>
        <v>14136.43</v>
      </c>
      <c r="K56" s="242" t="s">
        <v>102</v>
      </c>
      <c r="L56" s="242">
        <f t="shared" si="3"/>
        <v>75855</v>
      </c>
      <c r="M56" s="242" t="s">
        <v>102</v>
      </c>
      <c r="N56" s="242" t="s">
        <v>102</v>
      </c>
      <c r="O56" s="242">
        <f t="shared" si="8"/>
        <v>6137.57</v>
      </c>
      <c r="P56" s="242" t="s">
        <v>102</v>
      </c>
      <c r="Q56" s="242">
        <f t="shared" si="9"/>
        <v>4502.8599999999997</v>
      </c>
      <c r="R56" s="242" t="s">
        <v>102</v>
      </c>
      <c r="S56" s="242">
        <f t="shared" si="10"/>
        <v>16220.86</v>
      </c>
      <c r="T56" s="70" t="s">
        <v>102</v>
      </c>
      <c r="U56" s="70" t="s">
        <v>102</v>
      </c>
      <c r="V56" s="20"/>
      <c r="W56" s="20"/>
      <c r="X56" s="20"/>
      <c r="Y56" s="20"/>
      <c r="Z56" s="20"/>
      <c r="AA56" s="20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21"/>
      <c r="DV56" s="21"/>
      <c r="DW56" s="21"/>
      <c r="DX56" s="21"/>
      <c r="DY56" s="21"/>
      <c r="DZ56" s="21"/>
      <c r="EA56" s="21"/>
      <c r="EB56" s="21"/>
      <c r="EC56" s="21"/>
      <c r="ED56" s="21"/>
      <c r="EE56" s="21"/>
      <c r="EF56" s="21"/>
      <c r="EG56" s="21"/>
      <c r="EH56" s="21"/>
      <c r="EI56" s="21"/>
      <c r="EJ56" s="21"/>
      <c r="EK56" s="21"/>
      <c r="EL56" s="21"/>
      <c r="EM56" s="21"/>
      <c r="EN56" s="21"/>
      <c r="EO56" s="21"/>
      <c r="EP56" s="21"/>
      <c r="EQ56" s="21"/>
      <c r="ER56" s="21"/>
      <c r="ES56" s="21"/>
      <c r="ET56" s="21"/>
      <c r="EU56" s="21"/>
      <c r="EV56" s="21"/>
      <c r="EW56" s="21"/>
      <c r="EX56" s="21"/>
      <c r="EY56" s="21"/>
      <c r="EZ56" s="21"/>
      <c r="FA56" s="21"/>
      <c r="FB56" s="21"/>
      <c r="FC56" s="21"/>
      <c r="FD56" s="21"/>
      <c r="FE56" s="21"/>
      <c r="FF56" s="21"/>
      <c r="FG56" s="21"/>
      <c r="FH56" s="21"/>
      <c r="FI56" s="21"/>
      <c r="FJ56" s="21"/>
      <c r="FK56" s="21"/>
      <c r="FL56" s="21"/>
      <c r="FM56" s="21"/>
      <c r="FN56" s="21"/>
      <c r="FO56" s="21"/>
      <c r="FP56" s="21"/>
      <c r="FQ56" s="21"/>
      <c r="FR56" s="21"/>
      <c r="FS56" s="21"/>
      <c r="FT56" s="21"/>
      <c r="FU56" s="21"/>
      <c r="FV56" s="21"/>
      <c r="FW56" s="21"/>
      <c r="FX56" s="21"/>
      <c r="FY56" s="21"/>
      <c r="FZ56" s="21"/>
      <c r="GA56" s="21"/>
      <c r="GB56" s="21"/>
      <c r="GC56" s="21"/>
      <c r="GD56" s="21"/>
      <c r="GE56" s="21"/>
      <c r="GF56" s="21"/>
      <c r="GG56" s="21"/>
      <c r="GH56" s="21"/>
      <c r="GI56" s="21"/>
      <c r="GJ56" s="21"/>
      <c r="GK56" s="21"/>
      <c r="GL56" s="21"/>
      <c r="GM56" s="21"/>
      <c r="GN56" s="21"/>
      <c r="GO56" s="21"/>
      <c r="GP56" s="21"/>
      <c r="GQ56" s="21"/>
      <c r="GR56" s="21"/>
      <c r="GS56" s="21"/>
      <c r="GT56" s="21"/>
      <c r="GU56" s="21"/>
      <c r="GV56" s="21"/>
      <c r="GW56" s="21"/>
      <c r="GX56" s="21"/>
      <c r="GY56" s="21"/>
      <c r="GZ56" s="21"/>
      <c r="HA56" s="21"/>
      <c r="HB56" s="21"/>
      <c r="HC56" s="21"/>
      <c r="HD56" s="21"/>
      <c r="HE56" s="21"/>
      <c r="HF56" s="21"/>
      <c r="HG56" s="21"/>
      <c r="HH56" s="21"/>
      <c r="HI56" s="21"/>
      <c r="HJ56" s="21"/>
      <c r="HK56" s="21"/>
      <c r="HL56" s="21"/>
      <c r="HM56" s="21"/>
      <c r="HN56" s="21"/>
      <c r="HO56" s="21"/>
      <c r="HP56" s="21"/>
      <c r="HQ56" s="21"/>
      <c r="HR56" s="21"/>
      <c r="HS56" s="21"/>
      <c r="HT56" s="21"/>
      <c r="HU56" s="21"/>
      <c r="HV56" s="21"/>
      <c r="HW56" s="21"/>
      <c r="HX56" s="21"/>
      <c r="HY56" s="21"/>
    </row>
    <row r="57" spans="1:233" ht="18.5" x14ac:dyDescent="0.45">
      <c r="A57" s="269" t="s">
        <v>87</v>
      </c>
      <c r="B57" s="242">
        <f t="shared" si="4"/>
        <v>31445</v>
      </c>
      <c r="C57" s="242" t="s">
        <v>102</v>
      </c>
      <c r="D57" s="242">
        <f t="shared" si="5"/>
        <v>11679.57</v>
      </c>
      <c r="E57" s="242" t="s">
        <v>102</v>
      </c>
      <c r="F57" s="242">
        <f t="shared" si="2"/>
        <v>43124.57</v>
      </c>
      <c r="G57" s="242" t="s">
        <v>102</v>
      </c>
      <c r="H57" s="242">
        <f t="shared" si="6"/>
        <v>61718.57</v>
      </c>
      <c r="I57" s="242" t="s">
        <v>102</v>
      </c>
      <c r="J57" s="242">
        <f t="shared" si="7"/>
        <v>14136.43</v>
      </c>
      <c r="K57" s="242" t="s">
        <v>102</v>
      </c>
      <c r="L57" s="242">
        <f t="shared" si="3"/>
        <v>75855</v>
      </c>
      <c r="M57" s="242" t="s">
        <v>102</v>
      </c>
      <c r="N57" s="242" t="s">
        <v>102</v>
      </c>
      <c r="O57" s="242">
        <f t="shared" si="8"/>
        <v>6137.57</v>
      </c>
      <c r="P57" s="242" t="s">
        <v>102</v>
      </c>
      <c r="Q57" s="242">
        <f t="shared" si="9"/>
        <v>4502.8599999999997</v>
      </c>
      <c r="R57" s="242" t="s">
        <v>102</v>
      </c>
      <c r="S57" s="242">
        <f t="shared" si="10"/>
        <v>16220.86</v>
      </c>
      <c r="T57" s="70" t="s">
        <v>102</v>
      </c>
      <c r="U57" s="70" t="s">
        <v>102</v>
      </c>
      <c r="V57" s="20"/>
      <c r="W57" s="20"/>
      <c r="X57" s="20"/>
      <c r="Y57" s="20"/>
      <c r="Z57" s="20"/>
      <c r="AA57" s="20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</row>
    <row r="58" spans="1:233" ht="18.5" x14ac:dyDescent="0.45">
      <c r="A58" s="269" t="s">
        <v>88</v>
      </c>
      <c r="B58" s="242">
        <f t="shared" si="4"/>
        <v>31445</v>
      </c>
      <c r="C58" s="242" t="s">
        <v>102</v>
      </c>
      <c r="D58" s="242">
        <f t="shared" si="5"/>
        <v>11679.57</v>
      </c>
      <c r="E58" s="242" t="s">
        <v>102</v>
      </c>
      <c r="F58" s="242">
        <f t="shared" si="2"/>
        <v>43124.57</v>
      </c>
      <c r="G58" s="242" t="s">
        <v>102</v>
      </c>
      <c r="H58" s="242">
        <f t="shared" si="6"/>
        <v>61718.57</v>
      </c>
      <c r="I58" s="242" t="s">
        <v>102</v>
      </c>
      <c r="J58" s="242">
        <f t="shared" si="7"/>
        <v>14136.43</v>
      </c>
      <c r="K58" s="242" t="s">
        <v>102</v>
      </c>
      <c r="L58" s="242">
        <f t="shared" si="3"/>
        <v>75855</v>
      </c>
      <c r="M58" s="242" t="s">
        <v>102</v>
      </c>
      <c r="N58" s="242" t="s">
        <v>102</v>
      </c>
      <c r="O58" s="242">
        <f t="shared" si="8"/>
        <v>6137.57</v>
      </c>
      <c r="P58" s="242" t="s">
        <v>102</v>
      </c>
      <c r="Q58" s="242">
        <f t="shared" si="9"/>
        <v>4502.8599999999997</v>
      </c>
      <c r="R58" s="242" t="s">
        <v>102</v>
      </c>
      <c r="S58" s="242">
        <f t="shared" si="10"/>
        <v>16220.86</v>
      </c>
      <c r="T58" s="70" t="s">
        <v>102</v>
      </c>
      <c r="U58" s="70" t="s">
        <v>102</v>
      </c>
      <c r="V58" s="20"/>
      <c r="W58" s="20"/>
      <c r="X58" s="20"/>
      <c r="Y58" s="20"/>
      <c r="Z58" s="20"/>
      <c r="AA58" s="20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</row>
    <row r="59" spans="1:233" ht="18.5" x14ac:dyDescent="0.45">
      <c r="A59" s="269" t="s">
        <v>89</v>
      </c>
      <c r="B59" s="242">
        <f t="shared" si="4"/>
        <v>31445</v>
      </c>
      <c r="C59" s="242" t="s">
        <v>102</v>
      </c>
      <c r="D59" s="242">
        <f t="shared" si="5"/>
        <v>11679.57</v>
      </c>
      <c r="E59" s="242" t="s">
        <v>102</v>
      </c>
      <c r="F59" s="242">
        <f t="shared" si="2"/>
        <v>43124.57</v>
      </c>
      <c r="G59" s="242" t="s">
        <v>102</v>
      </c>
      <c r="H59" s="242">
        <f t="shared" si="6"/>
        <v>61718.57</v>
      </c>
      <c r="I59" s="242" t="s">
        <v>102</v>
      </c>
      <c r="J59" s="242">
        <f t="shared" si="7"/>
        <v>14136.43</v>
      </c>
      <c r="K59" s="242" t="s">
        <v>102</v>
      </c>
      <c r="L59" s="242">
        <f t="shared" si="3"/>
        <v>75855</v>
      </c>
      <c r="M59" s="242" t="s">
        <v>102</v>
      </c>
      <c r="N59" s="242" t="s">
        <v>102</v>
      </c>
      <c r="O59" s="242">
        <f t="shared" si="8"/>
        <v>6137.57</v>
      </c>
      <c r="P59" s="242" t="s">
        <v>102</v>
      </c>
      <c r="Q59" s="242">
        <f t="shared" si="9"/>
        <v>4502.8599999999997</v>
      </c>
      <c r="R59" s="242" t="s">
        <v>102</v>
      </c>
      <c r="S59" s="242">
        <f t="shared" si="10"/>
        <v>16220.86</v>
      </c>
      <c r="T59" s="70" t="s">
        <v>102</v>
      </c>
      <c r="U59" s="70" t="s">
        <v>102</v>
      </c>
      <c r="V59" s="20"/>
      <c r="W59" s="20"/>
      <c r="X59" s="20"/>
      <c r="Y59" s="20"/>
      <c r="Z59" s="20"/>
      <c r="AA59" s="20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1"/>
      <c r="EF59" s="21"/>
      <c r="EG59" s="21"/>
      <c r="EH59" s="21"/>
      <c r="EI59" s="21"/>
      <c r="EJ59" s="21"/>
      <c r="EK59" s="21"/>
      <c r="EL59" s="21"/>
      <c r="EM59" s="21"/>
      <c r="EN59" s="21"/>
      <c r="EO59" s="21"/>
      <c r="EP59" s="21"/>
      <c r="EQ59" s="21"/>
      <c r="ER59" s="21"/>
      <c r="ES59" s="21"/>
      <c r="ET59" s="21"/>
      <c r="EU59" s="21"/>
      <c r="EV59" s="21"/>
      <c r="EW59" s="21"/>
      <c r="EX59" s="21"/>
      <c r="EY59" s="21"/>
      <c r="EZ59" s="21"/>
      <c r="FA59" s="21"/>
      <c r="FB59" s="21"/>
      <c r="FC59" s="21"/>
      <c r="FD59" s="21"/>
      <c r="FE59" s="21"/>
      <c r="FF59" s="21"/>
      <c r="FG59" s="21"/>
      <c r="FH59" s="21"/>
      <c r="FI59" s="21"/>
      <c r="FJ59" s="21"/>
      <c r="FK59" s="21"/>
      <c r="FL59" s="21"/>
      <c r="FM59" s="21"/>
      <c r="FN59" s="21"/>
      <c r="FO59" s="21"/>
      <c r="FP59" s="21"/>
      <c r="FQ59" s="21"/>
      <c r="FR59" s="21"/>
      <c r="FS59" s="21"/>
      <c r="FT59" s="21"/>
      <c r="FU59" s="21"/>
      <c r="FV59" s="21"/>
      <c r="FW59" s="21"/>
      <c r="FX59" s="21"/>
      <c r="FY59" s="21"/>
      <c r="FZ59" s="21"/>
      <c r="GA59" s="21"/>
      <c r="GB59" s="21"/>
      <c r="GC59" s="21"/>
      <c r="GD59" s="21"/>
      <c r="GE59" s="21"/>
      <c r="GF59" s="21"/>
      <c r="GG59" s="21"/>
      <c r="GH59" s="21"/>
      <c r="GI59" s="21"/>
      <c r="GJ59" s="21"/>
      <c r="GK59" s="21"/>
      <c r="GL59" s="21"/>
      <c r="GM59" s="21"/>
      <c r="GN59" s="21"/>
      <c r="GO59" s="21"/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1"/>
      <c r="HB59" s="21"/>
      <c r="HC59" s="21"/>
      <c r="HD59" s="21"/>
      <c r="HE59" s="21"/>
      <c r="HF59" s="21"/>
      <c r="HG59" s="21"/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</row>
    <row r="60" spans="1:233" ht="19" thickBot="1" x14ac:dyDescent="0.5">
      <c r="A60" s="269" t="s">
        <v>90</v>
      </c>
      <c r="B60" s="242">
        <f>B59</f>
        <v>31445</v>
      </c>
      <c r="C60" s="242" t="s">
        <v>102</v>
      </c>
      <c r="D60" s="242">
        <f>D59</f>
        <v>11679.57</v>
      </c>
      <c r="E60" s="242" t="s">
        <v>102</v>
      </c>
      <c r="F60" s="242">
        <f t="shared" si="2"/>
        <v>43124.57</v>
      </c>
      <c r="G60" s="242" t="s">
        <v>102</v>
      </c>
      <c r="H60" s="242">
        <f>H59</f>
        <v>61718.57</v>
      </c>
      <c r="I60" s="242" t="s">
        <v>102</v>
      </c>
      <c r="J60" s="242">
        <f>J59</f>
        <v>14136.43</v>
      </c>
      <c r="K60" s="242" t="s">
        <v>102</v>
      </c>
      <c r="L60" s="242">
        <f t="shared" si="3"/>
        <v>75855</v>
      </c>
      <c r="M60" s="242" t="s">
        <v>102</v>
      </c>
      <c r="N60" s="242" t="s">
        <v>102</v>
      </c>
      <c r="O60" s="242">
        <f>O59</f>
        <v>6137.57</v>
      </c>
      <c r="P60" s="242" t="s">
        <v>102</v>
      </c>
      <c r="Q60" s="242">
        <f t="shared" si="9"/>
        <v>4502.8599999999997</v>
      </c>
      <c r="R60" s="242" t="s">
        <v>102</v>
      </c>
      <c r="S60" s="242">
        <f>S59</f>
        <v>16220.86</v>
      </c>
      <c r="T60" s="70" t="s">
        <v>102</v>
      </c>
      <c r="U60" s="70" t="s">
        <v>102</v>
      </c>
      <c r="V60" s="20"/>
      <c r="W60" s="20"/>
      <c r="X60" s="20"/>
      <c r="Y60" s="20"/>
      <c r="Z60" s="20"/>
      <c r="AA60" s="20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  <c r="EE60" s="21"/>
      <c r="EF60" s="21"/>
      <c r="EG60" s="21"/>
      <c r="EH60" s="21"/>
      <c r="EI60" s="21"/>
      <c r="EJ60" s="21"/>
      <c r="EK60" s="21"/>
      <c r="EL60" s="21"/>
      <c r="EM60" s="21"/>
      <c r="EN60" s="21"/>
      <c r="EO60" s="21"/>
      <c r="EP60" s="21"/>
      <c r="EQ60" s="21"/>
      <c r="ER60" s="21"/>
      <c r="ES60" s="21"/>
      <c r="ET60" s="21"/>
      <c r="EU60" s="21"/>
      <c r="EV60" s="21"/>
      <c r="EW60" s="21"/>
      <c r="EX60" s="21"/>
      <c r="EY60" s="21"/>
      <c r="EZ60" s="21"/>
      <c r="FA60" s="21"/>
      <c r="FB60" s="21"/>
      <c r="FC60" s="21"/>
      <c r="FD60" s="21"/>
      <c r="FE60" s="21"/>
      <c r="FF60" s="21"/>
      <c r="FG60" s="21"/>
      <c r="FH60" s="21"/>
      <c r="FI60" s="21"/>
      <c r="FJ60" s="21"/>
      <c r="FK60" s="21"/>
      <c r="FL60" s="21"/>
      <c r="FM60" s="21"/>
      <c r="FN60" s="21"/>
      <c r="FO60" s="21"/>
      <c r="FP60" s="21"/>
      <c r="FQ60" s="21"/>
      <c r="FR60" s="21"/>
      <c r="FS60" s="21"/>
      <c r="FT60" s="21"/>
      <c r="FU60" s="21"/>
      <c r="FV60" s="21"/>
      <c r="FW60" s="21"/>
      <c r="FX60" s="21"/>
      <c r="FY60" s="21"/>
      <c r="FZ60" s="21"/>
      <c r="GA60" s="21"/>
      <c r="GB60" s="21"/>
      <c r="GC60" s="21"/>
      <c r="GD60" s="21"/>
      <c r="GE60" s="21"/>
      <c r="GF60" s="21"/>
      <c r="GG60" s="21"/>
      <c r="GH60" s="21"/>
      <c r="GI60" s="21"/>
      <c r="GJ60" s="21"/>
      <c r="GK60" s="21"/>
      <c r="GL60" s="21"/>
      <c r="GM60" s="21"/>
      <c r="GN60" s="21"/>
      <c r="GO60" s="21"/>
      <c r="GP60" s="21"/>
      <c r="GQ60" s="21"/>
      <c r="GR60" s="21"/>
      <c r="GS60" s="21"/>
      <c r="GT60" s="21"/>
      <c r="GU60" s="21"/>
      <c r="GV60" s="21"/>
      <c r="GW60" s="21"/>
      <c r="GX60" s="21"/>
      <c r="GY60" s="21"/>
      <c r="GZ60" s="21"/>
      <c r="HA60" s="21"/>
      <c r="HB60" s="21"/>
      <c r="HC60" s="21"/>
      <c r="HD60" s="21"/>
      <c r="HE60" s="21"/>
      <c r="HF60" s="21"/>
      <c r="HG60" s="21"/>
      <c r="HH60" s="21"/>
      <c r="HI60" s="21"/>
      <c r="HJ60" s="21"/>
      <c r="HK60" s="21"/>
      <c r="HL60" s="21"/>
      <c r="HM60" s="21"/>
      <c r="HN60" s="21"/>
      <c r="HO60" s="21"/>
      <c r="HP60" s="21"/>
      <c r="HQ60" s="21"/>
      <c r="HR60" s="21"/>
      <c r="HS60" s="21"/>
      <c r="HT60" s="21"/>
      <c r="HU60" s="21"/>
      <c r="HV60" s="21"/>
      <c r="HW60" s="21"/>
      <c r="HX60" s="21"/>
      <c r="HY60" s="21"/>
    </row>
    <row r="61" spans="1:233" ht="18.5" x14ac:dyDescent="0.45">
      <c r="A61" s="269" t="s">
        <v>91</v>
      </c>
      <c r="B61" s="247">
        <f>SUM(B11:B60)</f>
        <v>2044127</v>
      </c>
      <c r="C61" s="244"/>
      <c r="D61" s="247">
        <f>SUM(D11:D60)</f>
        <v>614458.12999999966</v>
      </c>
      <c r="E61" s="244"/>
      <c r="F61" s="247">
        <f>SUM(F11:F60)</f>
        <v>2658585.1299999985</v>
      </c>
      <c r="G61" s="244"/>
      <c r="H61" s="247">
        <f>SUM(H11:H60)</f>
        <v>4025556.1299999985</v>
      </c>
      <c r="I61" s="244"/>
      <c r="J61" s="247">
        <f>SUM(J11:J60)</f>
        <v>719056.17000000051</v>
      </c>
      <c r="K61" s="244"/>
      <c r="L61" s="247">
        <f>SUM(L11:L60)</f>
        <v>4744612.3</v>
      </c>
      <c r="M61" s="244"/>
      <c r="N61" s="244"/>
      <c r="O61" s="247">
        <f>SUM(O11:O60)</f>
        <v>403726.13000000006</v>
      </c>
      <c r="P61" s="244"/>
      <c r="Q61" s="247">
        <f>SUM(Q11:Q60)</f>
        <v>298688.41999999993</v>
      </c>
      <c r="R61" s="244"/>
      <c r="S61" s="247">
        <f>SUM(S11:S60)</f>
        <v>1141909.7400000005</v>
      </c>
      <c r="T61" s="70"/>
      <c r="U61" s="70"/>
      <c r="V61" s="20"/>
      <c r="W61" s="20"/>
      <c r="X61" s="20"/>
      <c r="Y61" s="20"/>
      <c r="Z61" s="20"/>
      <c r="AA61" s="20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  <c r="EE61" s="21"/>
      <c r="EF61" s="21"/>
      <c r="EG61" s="21"/>
      <c r="EH61" s="21"/>
      <c r="EI61" s="21"/>
      <c r="EJ61" s="21"/>
      <c r="EK61" s="21"/>
      <c r="EL61" s="21"/>
      <c r="EM61" s="21"/>
      <c r="EN61" s="21"/>
      <c r="EO61" s="21"/>
      <c r="EP61" s="21"/>
      <c r="EQ61" s="21"/>
      <c r="ER61" s="21"/>
      <c r="ES61" s="21"/>
      <c r="ET61" s="21"/>
      <c r="EU61" s="21"/>
      <c r="EV61" s="21"/>
      <c r="EW61" s="21"/>
      <c r="EX61" s="21"/>
      <c r="EY61" s="21"/>
      <c r="EZ61" s="21"/>
      <c r="FA61" s="21"/>
      <c r="FB61" s="21"/>
      <c r="FC61" s="21"/>
      <c r="FD61" s="21"/>
      <c r="FE61" s="21"/>
      <c r="FF61" s="21"/>
      <c r="FG61" s="21"/>
      <c r="FH61" s="21"/>
      <c r="FI61" s="21"/>
      <c r="FJ61" s="21"/>
      <c r="FK61" s="21"/>
      <c r="FL61" s="21"/>
      <c r="FM61" s="21"/>
      <c r="FN61" s="21"/>
      <c r="FO61" s="21"/>
      <c r="FP61" s="21"/>
      <c r="FQ61" s="21"/>
      <c r="FR61" s="21"/>
      <c r="FS61" s="21"/>
      <c r="FT61" s="21"/>
      <c r="FU61" s="21"/>
      <c r="FV61" s="21"/>
      <c r="FW61" s="21"/>
      <c r="FX61" s="21"/>
      <c r="FY61" s="21"/>
      <c r="FZ61" s="21"/>
      <c r="GA61" s="21"/>
      <c r="GB61" s="21"/>
      <c r="GC61" s="21"/>
      <c r="GD61" s="21"/>
      <c r="GE61" s="21"/>
      <c r="GF61" s="21"/>
      <c r="GG61" s="21"/>
      <c r="GH61" s="21"/>
      <c r="GI61" s="21"/>
      <c r="GJ61" s="21"/>
      <c r="GK61" s="21"/>
      <c r="GL61" s="21"/>
      <c r="GM61" s="21"/>
      <c r="GN61" s="21"/>
      <c r="GO61" s="21"/>
      <c r="GP61" s="21"/>
      <c r="GQ61" s="21"/>
      <c r="GR61" s="21"/>
      <c r="GS61" s="21"/>
      <c r="GT61" s="21"/>
      <c r="GU61" s="21"/>
      <c r="GV61" s="21"/>
      <c r="GW61" s="21"/>
      <c r="GX61" s="21"/>
      <c r="GY61" s="21"/>
      <c r="GZ61" s="21"/>
      <c r="HA61" s="21"/>
      <c r="HB61" s="21"/>
      <c r="HC61" s="21"/>
      <c r="HD61" s="21"/>
      <c r="HE61" s="21"/>
      <c r="HF61" s="21"/>
      <c r="HG61" s="21"/>
      <c r="HH61" s="21"/>
      <c r="HI61" s="21"/>
      <c r="HJ61" s="21"/>
      <c r="HK61" s="21"/>
      <c r="HL61" s="21"/>
      <c r="HM61" s="21"/>
      <c r="HN61" s="21"/>
      <c r="HO61" s="21"/>
      <c r="HP61" s="21"/>
      <c r="HQ61" s="21"/>
      <c r="HR61" s="21"/>
      <c r="HS61" s="21"/>
      <c r="HT61" s="21"/>
      <c r="HU61" s="21"/>
      <c r="HV61" s="21"/>
      <c r="HW61" s="21"/>
      <c r="HX61" s="21"/>
      <c r="HY61" s="21"/>
    </row>
    <row r="62" spans="1:233" ht="18.5" x14ac:dyDescent="0.45">
      <c r="A62" s="269" t="str">
        <f>Page_11!A58</f>
        <v>7 - Year Hist Avg (A-12)</v>
      </c>
      <c r="B62" s="242">
        <f>(ROUND(AVERAGE(B45:B51),2))</f>
        <v>31445</v>
      </c>
      <c r="C62" s="242"/>
      <c r="D62" s="242">
        <f>(ROUND(AVERAGE(D45:D51),2))</f>
        <v>11679.57</v>
      </c>
      <c r="E62" s="242"/>
      <c r="F62" s="242">
        <f t="shared" si="2"/>
        <v>43124.57</v>
      </c>
      <c r="G62" s="242"/>
      <c r="H62" s="242">
        <f>(ROUND(AVERAGE(H45:H51),2))</f>
        <v>61718.57</v>
      </c>
      <c r="I62" s="242"/>
      <c r="J62" s="242">
        <f>(ROUND(AVERAGE(J45:J51),2))</f>
        <v>14136.43</v>
      </c>
      <c r="K62" s="242"/>
      <c r="L62" s="242">
        <f>SUM(H62:J62)</f>
        <v>75855</v>
      </c>
      <c r="M62" s="242"/>
      <c r="N62" s="242"/>
      <c r="O62" s="242">
        <f>(ROUND(AVERAGE(O45:O51),2))</f>
        <v>6137.57</v>
      </c>
      <c r="P62" s="242"/>
      <c r="Q62" s="242">
        <f>(ROUND(AVERAGE(Q45:Q51),2))</f>
        <v>4502.8599999999997</v>
      </c>
      <c r="R62" s="242"/>
      <c r="S62" s="242">
        <f>(ROUND(AVERAGE(S45:S51),2))</f>
        <v>16220.86</v>
      </c>
      <c r="T62" s="70"/>
      <c r="U62" s="70"/>
      <c r="V62" s="20"/>
      <c r="W62" s="20"/>
      <c r="X62" s="20"/>
      <c r="Y62" s="20"/>
      <c r="Z62" s="20"/>
      <c r="AA62" s="20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  <c r="EO62" s="21"/>
      <c r="EP62" s="21"/>
      <c r="EQ62" s="21"/>
      <c r="ER62" s="21"/>
      <c r="ES62" s="21"/>
      <c r="ET62" s="21"/>
      <c r="EU62" s="21"/>
      <c r="EV62" s="21"/>
      <c r="EW62" s="21"/>
      <c r="EX62" s="21"/>
      <c r="EY62" s="21"/>
      <c r="EZ62" s="21"/>
      <c r="FA62" s="21"/>
      <c r="FB62" s="21"/>
      <c r="FC62" s="21"/>
      <c r="FD62" s="21"/>
      <c r="FE62" s="21"/>
      <c r="FF62" s="21"/>
      <c r="FG62" s="21"/>
      <c r="FH62" s="21"/>
      <c r="FI62" s="21"/>
      <c r="FJ62" s="21"/>
      <c r="FK62" s="21"/>
      <c r="FL62" s="21"/>
      <c r="FM62" s="21"/>
      <c r="FN62" s="21"/>
      <c r="FO62" s="21"/>
      <c r="FP62" s="21"/>
      <c r="FQ62" s="21"/>
      <c r="FR62" s="21"/>
      <c r="FS62" s="21"/>
      <c r="FT62" s="21"/>
      <c r="FU62" s="21"/>
      <c r="FV62" s="21"/>
      <c r="FW62" s="21"/>
      <c r="FX62" s="21"/>
      <c r="FY62" s="21"/>
      <c r="FZ62" s="21"/>
      <c r="GA62" s="21"/>
      <c r="GB62" s="21"/>
      <c r="GC62" s="21"/>
      <c r="GD62" s="21"/>
      <c r="GE62" s="21"/>
      <c r="GF62" s="21"/>
      <c r="GG62" s="21"/>
      <c r="GH62" s="21"/>
      <c r="GI62" s="21"/>
      <c r="GJ62" s="21"/>
      <c r="GK62" s="21"/>
      <c r="GL62" s="21"/>
      <c r="GM62" s="21"/>
      <c r="GN62" s="21"/>
      <c r="GO62" s="21"/>
      <c r="GP62" s="21"/>
      <c r="GQ62" s="21"/>
      <c r="GR62" s="21"/>
      <c r="GS62" s="21"/>
      <c r="GT62" s="21"/>
      <c r="GU62" s="21"/>
      <c r="GV62" s="21"/>
      <c r="GW62" s="21"/>
      <c r="GX62" s="21"/>
      <c r="GY62" s="21"/>
      <c r="GZ62" s="21"/>
      <c r="HA62" s="21"/>
      <c r="HB62" s="21"/>
      <c r="HC62" s="21"/>
      <c r="HD62" s="21"/>
      <c r="HE62" s="21"/>
      <c r="HF62" s="21"/>
      <c r="HG62" s="21"/>
      <c r="HH62" s="21"/>
      <c r="HI62" s="21"/>
      <c r="HJ62" s="21"/>
      <c r="HK62" s="21"/>
      <c r="HL62" s="21"/>
      <c r="HM62" s="21"/>
      <c r="HN62" s="21"/>
      <c r="HO62" s="21"/>
      <c r="HP62" s="21"/>
      <c r="HQ62" s="21"/>
      <c r="HR62" s="21"/>
      <c r="HS62" s="21"/>
      <c r="HT62" s="21"/>
      <c r="HU62" s="21"/>
      <c r="HV62" s="21"/>
      <c r="HW62" s="21"/>
      <c r="HX62" s="21"/>
      <c r="HY62" s="21"/>
    </row>
    <row r="63" spans="1:233" s="54" customFormat="1" ht="17.5" x14ac:dyDescent="0.45">
      <c r="A63" s="272" t="str">
        <f>Page_11!A59</f>
        <v>Projected Del. (A-2ba)</v>
      </c>
      <c r="B63" s="242">
        <f>SUM(B53:B60)</f>
        <v>251560</v>
      </c>
      <c r="C63" s="242"/>
      <c r="D63" s="242">
        <f>SUM(D53:D60)</f>
        <v>93436.56</v>
      </c>
      <c r="E63" s="242"/>
      <c r="F63" s="242">
        <f>SUM(F53:F60)</f>
        <v>344996.56</v>
      </c>
      <c r="G63" s="242" t="s">
        <v>102</v>
      </c>
      <c r="H63" s="242">
        <f>SUM(H53:H60)</f>
        <v>493748.56</v>
      </c>
      <c r="I63" s="242"/>
      <c r="J63" s="242">
        <f>SUM(J53:J60)</f>
        <v>113091.43999999997</v>
      </c>
      <c r="K63" s="242" t="s">
        <v>102</v>
      </c>
      <c r="L63" s="242">
        <f>SUM(H63:J63)</f>
        <v>606840</v>
      </c>
      <c r="M63" s="242" t="s">
        <v>102</v>
      </c>
      <c r="N63" s="242" t="s">
        <v>102</v>
      </c>
      <c r="O63" s="242">
        <f>SUM(O53:O60)</f>
        <v>49100.56</v>
      </c>
      <c r="P63" s="242"/>
      <c r="Q63" s="242">
        <f>SUM(Q53:Q60)</f>
        <v>36022.879999999997</v>
      </c>
      <c r="R63" s="242" t="s">
        <v>102</v>
      </c>
      <c r="S63" s="242">
        <f>SUM(S53:S60)</f>
        <v>129766.88</v>
      </c>
      <c r="T63" s="113" t="s">
        <v>102</v>
      </c>
      <c r="U63" s="113" t="s">
        <v>102</v>
      </c>
      <c r="V63" s="29"/>
      <c r="W63" s="29"/>
      <c r="X63" s="29"/>
      <c r="Y63" s="29"/>
      <c r="Z63" s="29"/>
      <c r="AA63" s="29"/>
    </row>
    <row r="64" spans="1:233" x14ac:dyDescent="0.35">
      <c r="A64" s="8"/>
      <c r="B64" s="56" t="s">
        <v>102</v>
      </c>
      <c r="C64" s="56" t="s">
        <v>102</v>
      </c>
      <c r="D64" s="56" t="s">
        <v>102</v>
      </c>
      <c r="E64" s="56" t="s">
        <v>102</v>
      </c>
      <c r="F64" s="56" t="s">
        <v>102</v>
      </c>
      <c r="G64" s="56" t="s">
        <v>102</v>
      </c>
      <c r="H64" s="56" t="s">
        <v>102</v>
      </c>
      <c r="I64" s="56" t="s">
        <v>102</v>
      </c>
      <c r="J64" s="56" t="s">
        <v>102</v>
      </c>
      <c r="K64" s="56" t="s">
        <v>102</v>
      </c>
      <c r="L64" s="56" t="s">
        <v>102</v>
      </c>
      <c r="M64" s="56" t="s">
        <v>102</v>
      </c>
      <c r="N64" s="56" t="s">
        <v>102</v>
      </c>
      <c r="O64" s="56" t="s">
        <v>102</v>
      </c>
      <c r="P64" s="56" t="s">
        <v>102</v>
      </c>
      <c r="Q64" s="56" t="s">
        <v>102</v>
      </c>
      <c r="R64" s="56" t="s">
        <v>102</v>
      </c>
      <c r="S64" s="56" t="s">
        <v>102</v>
      </c>
      <c r="T64" s="56" t="s">
        <v>102</v>
      </c>
      <c r="U64" s="56" t="s">
        <v>102</v>
      </c>
      <c r="V64" s="30"/>
      <c r="W64" s="30"/>
      <c r="X64" s="30"/>
      <c r="Y64" s="30"/>
      <c r="Z64" s="30"/>
      <c r="AA64" s="30"/>
    </row>
    <row r="65" spans="1:27" x14ac:dyDescent="0.35">
      <c r="A65" s="8"/>
      <c r="B65" s="56" t="s">
        <v>102</v>
      </c>
      <c r="C65" s="56" t="s">
        <v>102</v>
      </c>
      <c r="D65" s="56" t="s">
        <v>102</v>
      </c>
      <c r="E65" s="56" t="s">
        <v>102</v>
      </c>
      <c r="F65" s="56" t="s">
        <v>102</v>
      </c>
      <c r="G65" s="56" t="s">
        <v>102</v>
      </c>
      <c r="H65" s="56" t="s">
        <v>102</v>
      </c>
      <c r="I65" s="56" t="s">
        <v>102</v>
      </c>
      <c r="J65" s="56" t="s">
        <v>102</v>
      </c>
      <c r="K65" s="56" t="s">
        <v>102</v>
      </c>
      <c r="L65" s="56" t="s">
        <v>102</v>
      </c>
      <c r="M65" s="56" t="s">
        <v>102</v>
      </c>
      <c r="N65" s="56" t="s">
        <v>102</v>
      </c>
      <c r="O65" s="56" t="s">
        <v>102</v>
      </c>
      <c r="P65" s="56" t="s">
        <v>102</v>
      </c>
      <c r="Q65" s="56" t="s">
        <v>102</v>
      </c>
      <c r="R65" s="56" t="s">
        <v>102</v>
      </c>
      <c r="S65" s="56" t="s">
        <v>102</v>
      </c>
      <c r="T65" s="56" t="s">
        <v>102</v>
      </c>
      <c r="U65" s="56" t="s">
        <v>102</v>
      </c>
      <c r="V65" s="30"/>
      <c r="W65" s="30"/>
      <c r="X65" s="30"/>
      <c r="Y65" s="30"/>
      <c r="Z65" s="30"/>
      <c r="AA65" s="30"/>
    </row>
    <row r="66" spans="1:27" x14ac:dyDescent="0.35">
      <c r="A66" s="8"/>
      <c r="B66" s="56" t="s">
        <v>102</v>
      </c>
      <c r="C66" s="56" t="s">
        <v>102</v>
      </c>
      <c r="D66" s="56" t="s">
        <v>102</v>
      </c>
      <c r="E66" s="56" t="s">
        <v>102</v>
      </c>
      <c r="F66" s="56" t="s">
        <v>102</v>
      </c>
      <c r="G66" s="56" t="s">
        <v>102</v>
      </c>
      <c r="H66" s="56" t="s">
        <v>102</v>
      </c>
      <c r="I66" s="56" t="s">
        <v>102</v>
      </c>
      <c r="J66" s="56" t="s">
        <v>102</v>
      </c>
      <c r="K66" s="56" t="s">
        <v>102</v>
      </c>
      <c r="L66" s="56" t="s">
        <v>102</v>
      </c>
      <c r="M66" s="56" t="s">
        <v>102</v>
      </c>
      <c r="N66" s="56" t="s">
        <v>102</v>
      </c>
      <c r="O66" s="56" t="s">
        <v>102</v>
      </c>
      <c r="P66" s="56" t="s">
        <v>102</v>
      </c>
      <c r="Q66" s="56" t="s">
        <v>102</v>
      </c>
      <c r="R66" s="56" t="s">
        <v>102</v>
      </c>
      <c r="S66" s="56" t="s">
        <v>102</v>
      </c>
      <c r="T66" s="56" t="s">
        <v>102</v>
      </c>
      <c r="U66" s="56" t="s">
        <v>102</v>
      </c>
      <c r="V66" s="30"/>
      <c r="W66" s="30"/>
      <c r="X66" s="30"/>
      <c r="Y66" s="30"/>
      <c r="Z66" s="30"/>
      <c r="AA66" s="30"/>
    </row>
    <row r="67" spans="1:27" x14ac:dyDescent="0.35">
      <c r="A67" s="8"/>
      <c r="B67" s="56" t="s">
        <v>102</v>
      </c>
      <c r="C67" s="56" t="s">
        <v>102</v>
      </c>
      <c r="D67" s="56" t="s">
        <v>102</v>
      </c>
      <c r="E67" s="56" t="s">
        <v>102</v>
      </c>
      <c r="F67" s="56" t="s">
        <v>102</v>
      </c>
      <c r="G67" s="56" t="s">
        <v>102</v>
      </c>
      <c r="H67" s="56" t="s">
        <v>102</v>
      </c>
      <c r="I67" s="56" t="s">
        <v>102</v>
      </c>
      <c r="J67" s="56" t="s">
        <v>102</v>
      </c>
      <c r="K67" s="56" t="s">
        <v>102</v>
      </c>
      <c r="L67" s="56" t="s">
        <v>102</v>
      </c>
      <c r="M67" s="56" t="s">
        <v>102</v>
      </c>
      <c r="N67" s="56" t="s">
        <v>102</v>
      </c>
      <c r="O67" s="56" t="s">
        <v>102</v>
      </c>
      <c r="P67" s="56" t="s">
        <v>102</v>
      </c>
      <c r="Q67" s="56" t="s">
        <v>102</v>
      </c>
      <c r="R67" s="56" t="s">
        <v>102</v>
      </c>
      <c r="S67" s="56" t="s">
        <v>102</v>
      </c>
      <c r="T67" s="56" t="s">
        <v>102</v>
      </c>
      <c r="U67" s="56" t="s">
        <v>102</v>
      </c>
      <c r="V67" s="30"/>
      <c r="W67" s="30"/>
      <c r="X67" s="30"/>
      <c r="Y67" s="30"/>
      <c r="Z67" s="30"/>
      <c r="AA67" s="30"/>
    </row>
    <row r="68" spans="1:27" x14ac:dyDescent="0.35">
      <c r="A68" s="8"/>
      <c r="B68" s="56" t="s">
        <v>102</v>
      </c>
      <c r="C68" s="56" t="s">
        <v>102</v>
      </c>
      <c r="D68" s="56" t="s">
        <v>102</v>
      </c>
      <c r="E68" s="56" t="s">
        <v>102</v>
      </c>
      <c r="F68" s="56" t="s">
        <v>102</v>
      </c>
      <c r="G68" s="56" t="s">
        <v>102</v>
      </c>
      <c r="H68" s="56" t="s">
        <v>102</v>
      </c>
      <c r="I68" s="56" t="s">
        <v>102</v>
      </c>
      <c r="J68" s="56" t="s">
        <v>102</v>
      </c>
      <c r="K68" s="56" t="s">
        <v>102</v>
      </c>
      <c r="L68" s="56" t="s">
        <v>102</v>
      </c>
      <c r="M68" s="56" t="s">
        <v>102</v>
      </c>
      <c r="N68" s="56" t="s">
        <v>102</v>
      </c>
      <c r="O68" s="56" t="s">
        <v>102</v>
      </c>
      <c r="P68" s="56" t="s">
        <v>102</v>
      </c>
      <c r="Q68" s="56" t="s">
        <v>102</v>
      </c>
      <c r="R68" s="56" t="s">
        <v>102</v>
      </c>
      <c r="S68" s="56" t="s">
        <v>102</v>
      </c>
      <c r="T68" s="56" t="s">
        <v>102</v>
      </c>
      <c r="U68" s="56" t="s">
        <v>102</v>
      </c>
      <c r="V68" s="30"/>
      <c r="W68" s="30"/>
      <c r="X68" s="30"/>
      <c r="Y68" s="30"/>
      <c r="Z68" s="30"/>
      <c r="AA68" s="30"/>
    </row>
    <row r="69" spans="1:27" x14ac:dyDescent="0.35">
      <c r="B69" s="80" t="s">
        <v>102</v>
      </c>
      <c r="C69" s="80" t="s">
        <v>102</v>
      </c>
      <c r="D69" s="80" t="s">
        <v>102</v>
      </c>
      <c r="E69" s="80" t="s">
        <v>102</v>
      </c>
      <c r="F69" s="80" t="s">
        <v>102</v>
      </c>
      <c r="G69" s="80" t="s">
        <v>102</v>
      </c>
      <c r="H69" s="80" t="s">
        <v>102</v>
      </c>
      <c r="I69" s="80" t="s">
        <v>102</v>
      </c>
      <c r="J69" s="80" t="s">
        <v>102</v>
      </c>
      <c r="K69" s="80" t="s">
        <v>102</v>
      </c>
      <c r="L69" s="80" t="s">
        <v>102</v>
      </c>
      <c r="M69" s="80" t="s">
        <v>102</v>
      </c>
      <c r="N69" s="80" t="s">
        <v>102</v>
      </c>
      <c r="O69" s="80" t="s">
        <v>102</v>
      </c>
      <c r="P69" s="80" t="s">
        <v>102</v>
      </c>
      <c r="Q69" s="80" t="s">
        <v>102</v>
      </c>
      <c r="R69" s="80" t="s">
        <v>102</v>
      </c>
      <c r="S69" s="80" t="s">
        <v>102</v>
      </c>
      <c r="T69" s="80" t="s">
        <v>102</v>
      </c>
      <c r="U69" s="80" t="s">
        <v>102</v>
      </c>
      <c r="V69" s="30"/>
      <c r="W69" s="30"/>
      <c r="X69" s="30"/>
      <c r="Y69" s="30"/>
      <c r="Z69" s="30"/>
      <c r="AA69" s="30"/>
    </row>
    <row r="70" spans="1:27" x14ac:dyDescent="0.35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</row>
    <row r="71" spans="1:27" x14ac:dyDescent="0.35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</row>
    <row r="72" spans="1:27" x14ac:dyDescent="0.35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</row>
    <row r="73" spans="1:27" x14ac:dyDescent="0.35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</row>
  </sheetData>
  <printOptions horizontalCentered="1"/>
  <pageMargins left="0.25" right="0.25" top="0.5" bottom="0.5" header="0.3" footer="0.3"/>
  <pageSetup scale="43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pdfPage10">
                <anchor moveWithCells="1" sizeWithCells="1">
                  <from>
                    <xdr:col>0</xdr:col>
                    <xdr:colOff>31750</xdr:colOff>
                    <xdr:row>0</xdr:row>
                    <xdr:rowOff>12700</xdr:rowOff>
                  </from>
                  <to>
                    <xdr:col>0</xdr:col>
                    <xdr:colOff>38100</xdr:colOff>
                    <xdr:row>0</xdr:row>
                    <xdr:rowOff>12700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2DCE-4ECD-4822-9E87-602B36D302B1}">
  <sheetPr codeName="Sheet38">
    <pageSetUpPr fitToPage="1"/>
  </sheetPr>
  <dimension ref="A1:GQ69"/>
  <sheetViews>
    <sheetView zoomScale="85" zoomScaleNormal="85" zoomScaleSheetLayoutView="120" workbookViewId="0">
      <selection activeCell="B58" sqref="B58"/>
    </sheetView>
  </sheetViews>
  <sheetFormatPr defaultColWidth="9.58203125" defaultRowHeight="15.5" x14ac:dyDescent="0.35"/>
  <cols>
    <col min="1" max="1" width="40.58203125" style="9" customWidth="1"/>
    <col min="2" max="9" width="18.83203125" customWidth="1"/>
  </cols>
  <sheetData>
    <row r="1" spans="1:199" s="2" customFormat="1" ht="21" x14ac:dyDescent="0.55000000000000004">
      <c r="A1" s="286" t="str">
        <f>Page_1!A1</f>
        <v>IRR 2023 Sch A-13 F.Z25.XLSM</v>
      </c>
      <c r="B1" s="261"/>
      <c r="C1" s="268"/>
      <c r="D1" s="263"/>
      <c r="E1" s="263"/>
      <c r="F1" s="263"/>
      <c r="G1" s="263"/>
      <c r="H1" s="263"/>
      <c r="I1" s="264"/>
    </row>
    <row r="2" spans="1:199" s="2" customFormat="1" ht="21" x14ac:dyDescent="0.55000000000000004">
      <c r="A2" s="265" t="str">
        <f>Page_1!A2</f>
        <v>09/20/2022</v>
      </c>
      <c r="B2" s="262"/>
      <c r="C2" s="263"/>
      <c r="D2" s="263"/>
      <c r="E2" s="263"/>
      <c r="F2" s="263"/>
      <c r="G2" s="263"/>
      <c r="H2" s="263"/>
      <c r="I2" s="264"/>
    </row>
    <row r="3" spans="1:199" s="2" customFormat="1" ht="21" x14ac:dyDescent="0.55000000000000004">
      <c r="A3" s="286" t="str">
        <f>Page_1!A3</f>
        <v>CENTRAL VALLEY PROJECT</v>
      </c>
      <c r="B3" s="262"/>
      <c r="C3" s="263"/>
      <c r="D3" s="263"/>
      <c r="E3" s="263"/>
      <c r="F3" s="263"/>
      <c r="G3" s="263"/>
      <c r="H3" s="263"/>
      <c r="I3" s="252"/>
    </row>
    <row r="4" spans="1:199" s="2" customFormat="1" ht="84" x14ac:dyDescent="0.55000000000000004">
      <c r="A4" s="286" t="str">
        <f>Page_1!A4</f>
        <v>SCHEDULE OF HISTORICAL (1981-2021) &amp; PROJECTED (2022-2030) IRRIGATION WATER DELIVERIES (IN ACRE FEET)</v>
      </c>
      <c r="B4" s="262"/>
      <c r="C4" s="263"/>
      <c r="D4" s="263"/>
      <c r="E4" s="263"/>
      <c r="F4" s="263"/>
      <c r="G4" s="263"/>
      <c r="H4" s="263"/>
      <c r="I4" s="252"/>
    </row>
    <row r="5" spans="1:199" s="2" customFormat="1" ht="63" x14ac:dyDescent="0.55000000000000004">
      <c r="A5" s="286" t="str">
        <f>Page_1!A5</f>
        <v>FOR CALCULATION OF INDIVIDUAL CONTRACTOR PRORATED CONSTRUCTION COSTS AND RATE</v>
      </c>
      <c r="B5" s="252"/>
      <c r="C5" s="262"/>
      <c r="D5" s="262"/>
      <c r="E5" s="262"/>
      <c r="F5" s="262"/>
      <c r="G5" s="262"/>
      <c r="H5" s="262"/>
      <c r="I5" s="252"/>
    </row>
    <row r="6" spans="1:199" s="46" customFormat="1" ht="105" x14ac:dyDescent="0.35">
      <c r="A6" s="375" t="s">
        <v>34</v>
      </c>
      <c r="B6" s="379" t="s">
        <v>442</v>
      </c>
      <c r="C6" s="392" t="s">
        <v>443</v>
      </c>
      <c r="D6" s="393" t="s">
        <v>444</v>
      </c>
      <c r="E6" s="394" t="s">
        <v>445</v>
      </c>
      <c r="F6" s="379" t="s">
        <v>446</v>
      </c>
      <c r="G6" s="379" t="s">
        <v>447</v>
      </c>
      <c r="H6" s="379" t="s">
        <v>448</v>
      </c>
      <c r="I6" s="395" t="s">
        <v>151</v>
      </c>
    </row>
    <row r="7" spans="1:199" ht="17.5" x14ac:dyDescent="0.45">
      <c r="A7" s="269" t="s">
        <v>42</v>
      </c>
      <c r="B7" s="296"/>
      <c r="C7" s="242">
        <v>59218</v>
      </c>
      <c r="D7" s="242">
        <v>5596</v>
      </c>
      <c r="E7" s="242">
        <f t="shared" ref="E7:E38" si="0">SUM(C7:D7)</f>
        <v>64814</v>
      </c>
      <c r="F7" s="242">
        <v>782139.482878512</v>
      </c>
      <c r="G7" s="242">
        <v>60103</v>
      </c>
      <c r="H7" s="242">
        <f t="shared" ref="H7:H38" si="1">SUM(F7:G7)</f>
        <v>842242.482878512</v>
      </c>
      <c r="I7" s="242">
        <v>24000</v>
      </c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</row>
    <row r="8" spans="1:199" ht="17.5" x14ac:dyDescent="0.45">
      <c r="A8" s="269" t="s">
        <v>43</v>
      </c>
      <c r="B8" s="296"/>
      <c r="C8" s="242">
        <v>6147</v>
      </c>
      <c r="D8" s="242">
        <v>169422</v>
      </c>
      <c r="E8" s="242">
        <f t="shared" si="0"/>
        <v>175569</v>
      </c>
      <c r="F8" s="242">
        <v>439482.18050395255</v>
      </c>
      <c r="G8" s="242">
        <v>1231984</v>
      </c>
      <c r="H8" s="242">
        <f t="shared" si="1"/>
        <v>1671466.1805039525</v>
      </c>
      <c r="I8" s="242">
        <v>24000</v>
      </c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</row>
    <row r="9" spans="1:199" ht="17.5" x14ac:dyDescent="0.45">
      <c r="A9" s="269" t="s">
        <v>44</v>
      </c>
      <c r="B9" s="296"/>
      <c r="C9" s="242">
        <v>24469</v>
      </c>
      <c r="D9" s="242">
        <v>141000</v>
      </c>
      <c r="E9" s="242">
        <f t="shared" si="0"/>
        <v>165469</v>
      </c>
      <c r="F9" s="242">
        <v>533329.10937450104</v>
      </c>
      <c r="G9" s="242">
        <v>1020640</v>
      </c>
      <c r="H9" s="242">
        <f t="shared" si="1"/>
        <v>1553969.109374501</v>
      </c>
      <c r="I9" s="242">
        <v>24000</v>
      </c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</row>
    <row r="10" spans="1:199" ht="17.5" x14ac:dyDescent="0.45">
      <c r="A10" s="269" t="s">
        <v>45</v>
      </c>
      <c r="B10" s="296"/>
      <c r="C10" s="242">
        <v>34569</v>
      </c>
      <c r="D10" s="242">
        <v>57810</v>
      </c>
      <c r="E10" s="242">
        <f t="shared" si="0"/>
        <v>92379</v>
      </c>
      <c r="F10" s="242">
        <v>791944.71032345854</v>
      </c>
      <c r="G10" s="242">
        <v>466357</v>
      </c>
      <c r="H10" s="242">
        <f t="shared" si="1"/>
        <v>1258301.7103234585</v>
      </c>
      <c r="I10" s="242">
        <v>24000</v>
      </c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</row>
    <row r="11" spans="1:199" ht="17.5" x14ac:dyDescent="0.45">
      <c r="A11" s="269" t="s">
        <v>46</v>
      </c>
      <c r="B11" s="296"/>
      <c r="C11" s="242">
        <v>33553</v>
      </c>
      <c r="D11" s="242">
        <v>15820</v>
      </c>
      <c r="E11" s="242">
        <f t="shared" si="0"/>
        <v>49373</v>
      </c>
      <c r="F11" s="242">
        <v>702046.16527950321</v>
      </c>
      <c r="G11" s="242">
        <v>107981.5</v>
      </c>
      <c r="H11" s="242">
        <f t="shared" si="1"/>
        <v>810027.66527950321</v>
      </c>
      <c r="I11" s="242">
        <v>24000</v>
      </c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</row>
    <row r="12" spans="1:199" ht="17.5" x14ac:dyDescent="0.45">
      <c r="A12" s="269" t="s">
        <v>47</v>
      </c>
      <c r="B12" s="296"/>
      <c r="C12" s="242">
        <v>24552</v>
      </c>
      <c r="D12" s="242">
        <v>148224</v>
      </c>
      <c r="E12" s="242">
        <f t="shared" si="0"/>
        <v>172776</v>
      </c>
      <c r="F12" s="242">
        <v>440409.51512704685</v>
      </c>
      <c r="G12" s="242">
        <v>1087855.3</v>
      </c>
      <c r="H12" s="242">
        <f t="shared" si="1"/>
        <v>1528264.8151270468</v>
      </c>
      <c r="I12" s="242">
        <v>24000</v>
      </c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</row>
    <row r="13" spans="1:199" ht="17.5" x14ac:dyDescent="0.45">
      <c r="A13" s="269" t="s">
        <v>48</v>
      </c>
      <c r="B13" s="296"/>
      <c r="C13" s="242">
        <v>25114</v>
      </c>
      <c r="D13" s="242">
        <v>2820</v>
      </c>
      <c r="E13" s="242">
        <f t="shared" si="0"/>
        <v>27934</v>
      </c>
      <c r="F13" s="242">
        <v>642322.47709525109</v>
      </c>
      <c r="G13" s="242">
        <v>19853</v>
      </c>
      <c r="H13" s="242">
        <f t="shared" si="1"/>
        <v>662175.47709525109</v>
      </c>
      <c r="I13" s="242">
        <v>24000</v>
      </c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</row>
    <row r="14" spans="1:199" ht="17.5" x14ac:dyDescent="0.45">
      <c r="A14" s="269" t="s">
        <v>49</v>
      </c>
      <c r="B14" s="296"/>
      <c r="C14" s="242">
        <v>35860</v>
      </c>
      <c r="D14" s="248">
        <v>0</v>
      </c>
      <c r="E14" s="242">
        <f t="shared" si="0"/>
        <v>35860</v>
      </c>
      <c r="F14" s="242">
        <v>572437.79485284956</v>
      </c>
      <c r="G14" s="248">
        <v>0</v>
      </c>
      <c r="H14" s="242">
        <f t="shared" si="1"/>
        <v>572437.79485284956</v>
      </c>
      <c r="I14" s="242">
        <v>24000</v>
      </c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</row>
    <row r="15" spans="1:199" ht="17.5" x14ac:dyDescent="0.45">
      <c r="A15" s="269" t="s">
        <v>50</v>
      </c>
      <c r="B15" s="296"/>
      <c r="C15" s="242">
        <v>29659</v>
      </c>
      <c r="D15" s="248">
        <v>0</v>
      </c>
      <c r="E15" s="242">
        <f t="shared" si="0"/>
        <v>29659</v>
      </c>
      <c r="F15" s="242">
        <v>569871.43575595319</v>
      </c>
      <c r="G15" s="248">
        <v>0</v>
      </c>
      <c r="H15" s="242">
        <f t="shared" si="1"/>
        <v>569871.43575595319</v>
      </c>
      <c r="I15" s="242">
        <v>24000</v>
      </c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</row>
    <row r="16" spans="1:199" ht="17.5" x14ac:dyDescent="0.45">
      <c r="A16" s="269" t="s">
        <v>51</v>
      </c>
      <c r="B16" s="296"/>
      <c r="C16" s="242">
        <v>21435</v>
      </c>
      <c r="D16" s="248">
        <v>0</v>
      </c>
      <c r="E16" s="242">
        <f t="shared" si="0"/>
        <v>21435</v>
      </c>
      <c r="F16" s="242">
        <v>437209.07857692905</v>
      </c>
      <c r="G16" s="248">
        <v>0</v>
      </c>
      <c r="H16" s="242">
        <f t="shared" si="1"/>
        <v>437209.07857692905</v>
      </c>
      <c r="I16" s="242">
        <v>24000</v>
      </c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</row>
    <row r="17" spans="1:199" ht="17.5" x14ac:dyDescent="0.45">
      <c r="A17" s="269" t="s">
        <v>52</v>
      </c>
      <c r="B17" s="296"/>
      <c r="C17" s="242">
        <v>36827</v>
      </c>
      <c r="D17" s="248">
        <v>0</v>
      </c>
      <c r="E17" s="242">
        <f t="shared" si="0"/>
        <v>36827</v>
      </c>
      <c r="F17" s="242">
        <v>563217.01087063609</v>
      </c>
      <c r="G17" s="248">
        <v>0</v>
      </c>
      <c r="H17" s="242">
        <f t="shared" si="1"/>
        <v>563217.01087063609</v>
      </c>
      <c r="I17" s="242">
        <v>24000</v>
      </c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</row>
    <row r="18" spans="1:199" ht="17.5" x14ac:dyDescent="0.45">
      <c r="A18" s="269" t="s">
        <v>53</v>
      </c>
      <c r="B18" s="296"/>
      <c r="C18" s="242">
        <v>23337</v>
      </c>
      <c r="D18" s="248">
        <v>0</v>
      </c>
      <c r="E18" s="242">
        <f t="shared" si="0"/>
        <v>23337</v>
      </c>
      <c r="F18" s="242">
        <v>613419.58420564071</v>
      </c>
      <c r="G18" s="248">
        <v>0</v>
      </c>
      <c r="H18" s="242">
        <f t="shared" si="1"/>
        <v>613419.58420564071</v>
      </c>
      <c r="I18" s="242">
        <v>24000</v>
      </c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</row>
    <row r="19" spans="1:199" ht="17.5" x14ac:dyDescent="0.45">
      <c r="A19" s="269" t="s">
        <v>54</v>
      </c>
      <c r="B19" s="296"/>
      <c r="C19" s="242">
        <v>16621</v>
      </c>
      <c r="D19" s="242">
        <v>126900</v>
      </c>
      <c r="E19" s="242">
        <f t="shared" si="0"/>
        <v>143521</v>
      </c>
      <c r="F19" s="242">
        <v>515814.60763269337</v>
      </c>
      <c r="G19" s="242">
        <v>905130</v>
      </c>
      <c r="H19" s="242">
        <f t="shared" si="1"/>
        <v>1420944.6076326934</v>
      </c>
      <c r="I19" s="242">
        <v>24000</v>
      </c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</row>
    <row r="20" spans="1:199" ht="17.5" x14ac:dyDescent="0.45">
      <c r="A20" s="269" t="s">
        <v>55</v>
      </c>
      <c r="B20" s="296"/>
      <c r="C20" s="242">
        <v>53569</v>
      </c>
      <c r="D20" s="248">
        <v>0</v>
      </c>
      <c r="E20" s="242">
        <f t="shared" si="0"/>
        <v>53569</v>
      </c>
      <c r="F20" s="242">
        <v>654259.31155420665</v>
      </c>
      <c r="G20" s="242">
        <v>23390</v>
      </c>
      <c r="H20" s="242">
        <f t="shared" si="1"/>
        <v>677649.31155420665</v>
      </c>
      <c r="I20" s="242">
        <v>24000</v>
      </c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</row>
    <row r="21" spans="1:199" ht="17.5" x14ac:dyDescent="0.45">
      <c r="A21" s="269" t="s">
        <v>56</v>
      </c>
      <c r="B21" s="296"/>
      <c r="C21" s="242">
        <v>891</v>
      </c>
      <c r="D21" s="242">
        <v>63463</v>
      </c>
      <c r="E21" s="242">
        <f t="shared" si="0"/>
        <v>64354</v>
      </c>
      <c r="F21" s="242">
        <v>264894.10189776868</v>
      </c>
      <c r="G21" s="242">
        <v>691685.92405063286</v>
      </c>
      <c r="H21" s="242">
        <f t="shared" si="1"/>
        <v>956580.02594840154</v>
      </c>
      <c r="I21" s="242">
        <v>24000</v>
      </c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</row>
    <row r="22" spans="1:199" ht="17.5" x14ac:dyDescent="0.45">
      <c r="A22" s="269" t="s">
        <v>57</v>
      </c>
      <c r="B22" s="296"/>
      <c r="C22" s="242">
        <v>40640</v>
      </c>
      <c r="D22" s="242">
        <v>163006</v>
      </c>
      <c r="E22" s="242">
        <f t="shared" si="0"/>
        <v>203646</v>
      </c>
      <c r="F22" s="242">
        <v>739849.82647885475</v>
      </c>
      <c r="G22" s="242">
        <v>926018.07594936714</v>
      </c>
      <c r="H22" s="242">
        <f t="shared" si="1"/>
        <v>1665867.9024282219</v>
      </c>
      <c r="I22" s="242">
        <v>24000</v>
      </c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</row>
    <row r="23" spans="1:199" ht="17.5" x14ac:dyDescent="0.45">
      <c r="A23" s="269" t="s">
        <v>58</v>
      </c>
      <c r="B23" s="296"/>
      <c r="C23" s="242">
        <v>8137</v>
      </c>
      <c r="D23" s="242">
        <v>75946</v>
      </c>
      <c r="E23" s="242">
        <f t="shared" si="0"/>
        <v>84083</v>
      </c>
      <c r="F23" s="242">
        <v>537645.74479789322</v>
      </c>
      <c r="G23" s="242">
        <v>592629.8860759493</v>
      </c>
      <c r="H23" s="242">
        <f t="shared" si="1"/>
        <v>1130275.6308738426</v>
      </c>
      <c r="I23" s="242">
        <v>24000</v>
      </c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</row>
    <row r="24" spans="1:199" ht="17.5" x14ac:dyDescent="0.45">
      <c r="A24" s="269" t="s">
        <v>59</v>
      </c>
      <c r="B24" s="296"/>
      <c r="C24" s="242">
        <v>21297</v>
      </c>
      <c r="D24" s="242">
        <v>24316</v>
      </c>
      <c r="E24" s="242">
        <f t="shared" si="0"/>
        <v>45613</v>
      </c>
      <c r="F24" s="242">
        <v>350088.50337676943</v>
      </c>
      <c r="G24" s="242">
        <v>158910.27088607594</v>
      </c>
      <c r="H24" s="242">
        <f t="shared" si="1"/>
        <v>508998.7742628454</v>
      </c>
      <c r="I24" s="242">
        <v>24000</v>
      </c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</row>
    <row r="25" spans="1:199" ht="17.5" x14ac:dyDescent="0.45">
      <c r="A25" s="269" t="s">
        <v>111</v>
      </c>
      <c r="B25" s="296"/>
      <c r="C25" s="242">
        <v>30566</v>
      </c>
      <c r="D25" s="243">
        <v>0</v>
      </c>
      <c r="E25" s="242">
        <f t="shared" si="0"/>
        <v>30566</v>
      </c>
      <c r="F25" s="242">
        <v>632812.37461335887</v>
      </c>
      <c r="G25" s="242">
        <v>185153</v>
      </c>
      <c r="H25" s="242">
        <f t="shared" si="1"/>
        <v>817965.37461335887</v>
      </c>
      <c r="I25" s="242">
        <v>24000</v>
      </c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</row>
    <row r="26" spans="1:199" ht="17.5" x14ac:dyDescent="0.45">
      <c r="A26" s="269" t="s">
        <v>60</v>
      </c>
      <c r="B26" s="296"/>
      <c r="C26" s="242">
        <v>73323</v>
      </c>
      <c r="D26" s="242">
        <v>85594</v>
      </c>
      <c r="E26" s="242">
        <f t="shared" si="0"/>
        <v>158917</v>
      </c>
      <c r="F26" s="242">
        <v>817245.12393704115</v>
      </c>
      <c r="G26" s="242">
        <v>449346.79240506329</v>
      </c>
      <c r="H26" s="242">
        <f t="shared" si="1"/>
        <v>1266591.9163421043</v>
      </c>
      <c r="I26" s="242">
        <v>24000</v>
      </c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</row>
    <row r="27" spans="1:199" ht="17.5" x14ac:dyDescent="0.45">
      <c r="A27" s="270" t="s">
        <v>61</v>
      </c>
      <c r="B27" s="298"/>
      <c r="C27" s="242">
        <v>28038</v>
      </c>
      <c r="D27" s="242">
        <v>6464</v>
      </c>
      <c r="E27" s="242">
        <f t="shared" si="0"/>
        <v>34502</v>
      </c>
      <c r="F27" s="242">
        <v>627514.89389892714</v>
      </c>
      <c r="G27" s="242">
        <v>47391</v>
      </c>
      <c r="H27" s="242">
        <f t="shared" si="1"/>
        <v>674905.89389892714</v>
      </c>
      <c r="I27" s="242">
        <v>24000</v>
      </c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</row>
    <row r="28" spans="1:199" ht="17.5" x14ac:dyDescent="0.45">
      <c r="A28" s="270" t="s">
        <v>62</v>
      </c>
      <c r="B28" s="298"/>
      <c r="C28" s="242">
        <v>40906</v>
      </c>
      <c r="D28" s="242">
        <v>8921</v>
      </c>
      <c r="E28" s="242">
        <f t="shared" si="0"/>
        <v>49827</v>
      </c>
      <c r="F28" s="242">
        <v>593867.87398644839</v>
      </c>
      <c r="G28" s="242">
        <v>99820.59620253164</v>
      </c>
      <c r="H28" s="242">
        <f t="shared" si="1"/>
        <v>693688.47018897999</v>
      </c>
      <c r="I28" s="242">
        <v>24000</v>
      </c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</row>
    <row r="29" spans="1:199" ht="17.5" x14ac:dyDescent="0.45">
      <c r="A29" s="270" t="s">
        <v>63</v>
      </c>
      <c r="B29" s="298"/>
      <c r="C29" s="242">
        <v>31334</v>
      </c>
      <c r="D29" s="242">
        <v>40206</v>
      </c>
      <c r="E29" s="242">
        <f t="shared" si="0"/>
        <v>71540</v>
      </c>
      <c r="F29" s="242">
        <v>549911.75086956518</v>
      </c>
      <c r="G29" s="242">
        <v>246436.16708860762</v>
      </c>
      <c r="H29" s="242">
        <f t="shared" si="1"/>
        <v>796347.91795817274</v>
      </c>
      <c r="I29" s="242">
        <v>24000</v>
      </c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</row>
    <row r="30" spans="1:199" ht="17.5" x14ac:dyDescent="0.45">
      <c r="A30" s="270" t="s">
        <v>64</v>
      </c>
      <c r="B30" s="298"/>
      <c r="C30" s="242">
        <v>34213</v>
      </c>
      <c r="D30" s="242">
        <v>30931</v>
      </c>
      <c r="E30" s="242">
        <f t="shared" si="0"/>
        <v>65144</v>
      </c>
      <c r="F30" s="242">
        <v>669702.60181360622</v>
      </c>
      <c r="G30" s="242">
        <v>93333</v>
      </c>
      <c r="H30" s="242">
        <f t="shared" si="1"/>
        <v>763035.60181360622</v>
      </c>
      <c r="I30" s="242">
        <v>24000</v>
      </c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</row>
    <row r="31" spans="1:199" ht="17.5" x14ac:dyDescent="0.45">
      <c r="A31" s="270" t="s">
        <v>65</v>
      </c>
      <c r="B31" s="298"/>
      <c r="C31" s="242">
        <v>19507</v>
      </c>
      <c r="D31" s="242">
        <v>115677</v>
      </c>
      <c r="E31" s="242">
        <f t="shared" si="0"/>
        <v>135184</v>
      </c>
      <c r="F31" s="242">
        <v>546646.70558149496</v>
      </c>
      <c r="G31" s="242">
        <v>667677.39873417723</v>
      </c>
      <c r="H31" s="242">
        <f t="shared" si="1"/>
        <v>1214324.1043156721</v>
      </c>
      <c r="I31" s="242">
        <v>24000</v>
      </c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</row>
    <row r="32" spans="1:199" ht="17.5" x14ac:dyDescent="0.45">
      <c r="A32" s="270" t="s">
        <v>66</v>
      </c>
      <c r="B32" s="298"/>
      <c r="C32" s="242">
        <v>26506</v>
      </c>
      <c r="D32" s="242">
        <v>69755</v>
      </c>
      <c r="E32" s="242">
        <f t="shared" si="0"/>
        <v>96261</v>
      </c>
      <c r="F32" s="242">
        <v>532375.27132858895</v>
      </c>
      <c r="G32" s="242">
        <v>467812.7734177215</v>
      </c>
      <c r="H32" s="242">
        <f t="shared" si="1"/>
        <v>1000188.0447463105</v>
      </c>
      <c r="I32" s="242">
        <v>24000</v>
      </c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</row>
    <row r="33" spans="1:199" ht="17.5" x14ac:dyDescent="0.45">
      <c r="A33" s="269" t="s">
        <v>67</v>
      </c>
      <c r="B33" s="296"/>
      <c r="C33" s="242">
        <v>19088</v>
      </c>
      <c r="D33" s="243">
        <v>0</v>
      </c>
      <c r="E33" s="242">
        <f t="shared" si="0"/>
        <v>19088</v>
      </c>
      <c r="F33" s="242">
        <v>457135.92239568522</v>
      </c>
      <c r="G33" s="242">
        <v>16717</v>
      </c>
      <c r="H33" s="242">
        <f t="shared" si="1"/>
        <v>473852.92239568522</v>
      </c>
      <c r="I33" s="242">
        <v>24000</v>
      </c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</row>
    <row r="34" spans="1:199" ht="17.5" x14ac:dyDescent="0.45">
      <c r="A34" s="269" t="s">
        <v>68</v>
      </c>
      <c r="B34" s="296"/>
      <c r="C34" s="242">
        <v>32462</v>
      </c>
      <c r="D34" s="242">
        <v>7050</v>
      </c>
      <c r="E34" s="242">
        <f t="shared" si="0"/>
        <v>39512</v>
      </c>
      <c r="F34" s="242">
        <v>553214.19735265477</v>
      </c>
      <c r="G34" s="242">
        <v>51454</v>
      </c>
      <c r="H34" s="242">
        <f t="shared" si="1"/>
        <v>604668.19735265477</v>
      </c>
      <c r="I34" s="242">
        <v>24000</v>
      </c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</row>
    <row r="35" spans="1:199" ht="17.5" x14ac:dyDescent="0.45">
      <c r="A35" s="269" t="s">
        <v>69</v>
      </c>
      <c r="B35" s="296"/>
      <c r="C35" s="242">
        <v>28094</v>
      </c>
      <c r="D35" s="242">
        <v>39881</v>
      </c>
      <c r="E35" s="242">
        <f t="shared" si="0"/>
        <v>67975</v>
      </c>
      <c r="F35" s="242">
        <v>563896.80762568384</v>
      </c>
      <c r="G35" s="242">
        <v>235584.46708860761</v>
      </c>
      <c r="H35" s="242">
        <f t="shared" si="1"/>
        <v>799481.27471429144</v>
      </c>
      <c r="I35" s="242">
        <v>24000</v>
      </c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</row>
    <row r="36" spans="1:199" ht="17.5" x14ac:dyDescent="0.45">
      <c r="A36" s="270" t="s">
        <v>70</v>
      </c>
      <c r="B36" s="298"/>
      <c r="C36" s="242">
        <v>57564</v>
      </c>
      <c r="D36" s="242">
        <v>71829</v>
      </c>
      <c r="E36" s="242">
        <f t="shared" si="0"/>
        <v>129393</v>
      </c>
      <c r="F36" s="242">
        <v>615795.8945164918</v>
      </c>
      <c r="G36" s="242">
        <v>584055.5</v>
      </c>
      <c r="H36" s="242">
        <f t="shared" si="1"/>
        <v>1199851.3945164918</v>
      </c>
      <c r="I36" s="242">
        <v>24000</v>
      </c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</row>
    <row r="37" spans="1:199" ht="17.5" x14ac:dyDescent="0.45">
      <c r="A37" s="269" t="s">
        <v>71</v>
      </c>
      <c r="B37" s="296"/>
      <c r="C37" s="242">
        <v>5088</v>
      </c>
      <c r="D37" s="242">
        <v>18289</v>
      </c>
      <c r="E37" s="242">
        <f t="shared" si="0"/>
        <v>23377</v>
      </c>
      <c r="F37" s="242">
        <v>426116.44815217389</v>
      </c>
      <c r="G37" s="242">
        <v>401073.8</v>
      </c>
      <c r="H37" s="242">
        <f t="shared" si="1"/>
        <v>827190.24815217382</v>
      </c>
      <c r="I37" s="242">
        <v>24000</v>
      </c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</row>
    <row r="38" spans="1:199" ht="17.5" x14ac:dyDescent="0.45">
      <c r="A38" s="269" t="s">
        <v>72</v>
      </c>
      <c r="B38" s="296"/>
      <c r="C38" s="242">
        <v>33341</v>
      </c>
      <c r="D38" s="242">
        <v>7211</v>
      </c>
      <c r="E38" s="242">
        <f t="shared" si="0"/>
        <v>40552</v>
      </c>
      <c r="F38" s="242">
        <v>570373.07479010487</v>
      </c>
      <c r="G38" s="242">
        <v>28732</v>
      </c>
      <c r="H38" s="242">
        <f t="shared" si="1"/>
        <v>599105.07479010487</v>
      </c>
      <c r="I38" s="242">
        <v>24000</v>
      </c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</row>
    <row r="39" spans="1:199" ht="17.5" x14ac:dyDescent="0.45">
      <c r="A39" s="269" t="s">
        <v>73</v>
      </c>
      <c r="B39" s="296"/>
      <c r="C39" s="242">
        <v>21975</v>
      </c>
      <c r="D39" s="243">
        <v>0</v>
      </c>
      <c r="E39" s="242">
        <f t="shared" ref="E39:E56" si="2">SUM(C39:D39)</f>
        <v>21975</v>
      </c>
      <c r="F39" s="242">
        <v>422684.67050224898</v>
      </c>
      <c r="G39" s="242">
        <v>1594</v>
      </c>
      <c r="H39" s="242">
        <f t="shared" ref="H39:H56" si="3">SUM(F39:G39)</f>
        <v>424278.67050224898</v>
      </c>
      <c r="I39" s="242">
        <v>24000</v>
      </c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</row>
    <row r="40" spans="1:199" ht="17.5" x14ac:dyDescent="0.45">
      <c r="A40" s="269" t="s">
        <v>74</v>
      </c>
      <c r="B40" s="243">
        <v>0</v>
      </c>
      <c r="C40" s="242">
        <v>6455</v>
      </c>
      <c r="D40" s="243">
        <v>0</v>
      </c>
      <c r="E40" s="242">
        <f t="shared" si="2"/>
        <v>6455</v>
      </c>
      <c r="F40" s="242">
        <v>84027</v>
      </c>
      <c r="G40" s="242">
        <v>2505</v>
      </c>
      <c r="H40" s="242">
        <f t="shared" si="3"/>
        <v>86532</v>
      </c>
      <c r="I40" s="242">
        <v>24000</v>
      </c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</row>
    <row r="41" spans="1:199" ht="17.5" x14ac:dyDescent="0.45">
      <c r="A41" s="269" t="s">
        <v>75</v>
      </c>
      <c r="B41" s="242">
        <v>9</v>
      </c>
      <c r="C41" s="243">
        <v>0</v>
      </c>
      <c r="D41" s="243">
        <v>0</v>
      </c>
      <c r="E41" s="248">
        <f t="shared" si="2"/>
        <v>0</v>
      </c>
      <c r="F41" s="242">
        <v>17290</v>
      </c>
      <c r="G41" s="243">
        <v>0</v>
      </c>
      <c r="H41" s="242">
        <f t="shared" si="3"/>
        <v>17290</v>
      </c>
      <c r="I41" s="242">
        <v>24000</v>
      </c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</row>
    <row r="42" spans="1:199" ht="17.5" x14ac:dyDescent="0.45">
      <c r="A42" s="269" t="s">
        <v>76</v>
      </c>
      <c r="B42" s="242">
        <v>75</v>
      </c>
      <c r="C42" s="242">
        <v>22759</v>
      </c>
      <c r="D42" s="242">
        <v>10061</v>
      </c>
      <c r="E42" s="242">
        <f t="shared" si="2"/>
        <v>32820</v>
      </c>
      <c r="F42" s="242">
        <v>354875</v>
      </c>
      <c r="G42" s="242">
        <v>75443</v>
      </c>
      <c r="H42" s="242">
        <f t="shared" si="3"/>
        <v>430318</v>
      </c>
      <c r="I42" s="242">
        <v>24000</v>
      </c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</row>
    <row r="43" spans="1:199" ht="17.5" x14ac:dyDescent="0.45">
      <c r="A43" s="269" t="s">
        <v>77</v>
      </c>
      <c r="B43" s="242">
        <v>119</v>
      </c>
      <c r="C43" s="242">
        <v>21564</v>
      </c>
      <c r="D43" s="242">
        <v>3257</v>
      </c>
      <c r="E43" s="242">
        <f t="shared" si="2"/>
        <v>24821</v>
      </c>
      <c r="F43" s="242">
        <v>428857</v>
      </c>
      <c r="G43" s="242">
        <v>396801</v>
      </c>
      <c r="H43" s="242">
        <f t="shared" si="3"/>
        <v>825658</v>
      </c>
      <c r="I43" s="242">
        <v>24000</v>
      </c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</row>
    <row r="44" spans="1:199" ht="17.5" x14ac:dyDescent="0.45">
      <c r="A44" s="269" t="s">
        <v>78</v>
      </c>
      <c r="B44" s="242">
        <v>604</v>
      </c>
      <c r="C44" s="242">
        <v>34164</v>
      </c>
      <c r="D44" s="242">
        <v>18426</v>
      </c>
      <c r="E44" s="242">
        <f t="shared" si="2"/>
        <v>52590</v>
      </c>
      <c r="F44" s="242">
        <v>634691</v>
      </c>
      <c r="G44" s="242">
        <v>142042</v>
      </c>
      <c r="H44" s="242">
        <f t="shared" si="3"/>
        <v>776733</v>
      </c>
      <c r="I44" s="242">
        <v>24000</v>
      </c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</row>
    <row r="45" spans="1:199" ht="17.5" x14ac:dyDescent="0.45">
      <c r="A45" s="269" t="s">
        <v>79</v>
      </c>
      <c r="B45" s="242">
        <v>461</v>
      </c>
      <c r="C45" s="242">
        <v>33341</v>
      </c>
      <c r="D45" s="242">
        <v>67637</v>
      </c>
      <c r="E45" s="242">
        <f t="shared" si="2"/>
        <v>100978</v>
      </c>
      <c r="F45" s="242">
        <v>494744</v>
      </c>
      <c r="G45" s="242">
        <v>638261.16</v>
      </c>
      <c r="H45" s="242">
        <f t="shared" si="3"/>
        <v>1133005.1600000001</v>
      </c>
      <c r="I45" s="242">
        <v>24000</v>
      </c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</row>
    <row r="46" spans="1:199" ht="17.5" x14ac:dyDescent="0.45">
      <c r="A46" s="269" t="s">
        <v>80</v>
      </c>
      <c r="B46" s="242">
        <v>135</v>
      </c>
      <c r="C46" s="242">
        <v>18459</v>
      </c>
      <c r="D46" s="242">
        <v>1699</v>
      </c>
      <c r="E46" s="242">
        <f t="shared" si="2"/>
        <v>20158</v>
      </c>
      <c r="F46" s="242">
        <v>539329</v>
      </c>
      <c r="G46" s="242">
        <v>-19960</v>
      </c>
      <c r="H46" s="242">
        <f t="shared" si="3"/>
        <v>519369</v>
      </c>
      <c r="I46" s="242">
        <v>24000</v>
      </c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</row>
    <row r="47" spans="1:199" ht="17.5" x14ac:dyDescent="0.45">
      <c r="A47" s="269" t="s">
        <v>81</v>
      </c>
      <c r="B47" s="242">
        <f>[1]ActualDeliveries!E$108</f>
        <v>106</v>
      </c>
      <c r="C47" s="242">
        <f>[1]ActualDeliveries!E$109</f>
        <v>7809</v>
      </c>
      <c r="D47" s="242">
        <f>[1]ActualDeliveries!E$127</f>
        <v>0</v>
      </c>
      <c r="E47" s="242">
        <f t="shared" si="2"/>
        <v>7809</v>
      </c>
      <c r="F47" s="242">
        <v>162067</v>
      </c>
      <c r="G47" s="242">
        <v>3352</v>
      </c>
      <c r="H47" s="242">
        <f t="shared" si="3"/>
        <v>165419</v>
      </c>
      <c r="I47" s="242">
        <f>[1]ActualDeliveries!E$132</f>
        <v>24000</v>
      </c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</row>
    <row r="48" spans="1:199" ht="17.5" x14ac:dyDescent="0.45">
      <c r="A48" s="269" t="s">
        <v>82</v>
      </c>
      <c r="B48" s="317">
        <f t="shared" ref="B48:D56" si="4">+B$58</f>
        <v>215.57142857142858</v>
      </c>
      <c r="C48" s="242">
        <f t="shared" si="4"/>
        <v>19728</v>
      </c>
      <c r="D48" s="242">
        <f t="shared" si="4"/>
        <v>14440</v>
      </c>
      <c r="E48" s="242">
        <f t="shared" si="2"/>
        <v>34168</v>
      </c>
      <c r="F48" s="242">
        <v>375979.00285714288</v>
      </c>
      <c r="G48" s="242">
        <v>176562.73714285714</v>
      </c>
      <c r="H48" s="242">
        <f t="shared" si="3"/>
        <v>552541.74</v>
      </c>
      <c r="I48" s="242">
        <f t="shared" ref="I48:I55" si="5">+$I$58</f>
        <v>24000</v>
      </c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</row>
    <row r="49" spans="1:199" ht="17.5" x14ac:dyDescent="0.45">
      <c r="A49" s="269" t="s">
        <v>83</v>
      </c>
      <c r="B49" s="317">
        <f t="shared" si="4"/>
        <v>215.57142857142858</v>
      </c>
      <c r="C49" s="242">
        <f t="shared" si="4"/>
        <v>19728</v>
      </c>
      <c r="D49" s="242">
        <f t="shared" si="4"/>
        <v>14440</v>
      </c>
      <c r="E49" s="242">
        <f t="shared" si="2"/>
        <v>34168</v>
      </c>
      <c r="F49" s="242">
        <v>375979.00285714288</v>
      </c>
      <c r="G49" s="242">
        <v>176562.73714285714</v>
      </c>
      <c r="H49" s="242">
        <f t="shared" si="3"/>
        <v>552541.74</v>
      </c>
      <c r="I49" s="242">
        <f t="shared" si="5"/>
        <v>24000</v>
      </c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</row>
    <row r="50" spans="1:199" ht="17.5" x14ac:dyDescent="0.45">
      <c r="A50" s="269" t="s">
        <v>84</v>
      </c>
      <c r="B50" s="317">
        <f t="shared" si="4"/>
        <v>215.57142857142858</v>
      </c>
      <c r="C50" s="242">
        <f t="shared" si="4"/>
        <v>19728</v>
      </c>
      <c r="D50" s="242">
        <f t="shared" si="4"/>
        <v>14440</v>
      </c>
      <c r="E50" s="242">
        <f t="shared" si="2"/>
        <v>34168</v>
      </c>
      <c r="F50" s="242">
        <v>375979.00285714288</v>
      </c>
      <c r="G50" s="242">
        <v>176562.73714285714</v>
      </c>
      <c r="H50" s="242">
        <f t="shared" si="3"/>
        <v>552541.74</v>
      </c>
      <c r="I50" s="242">
        <f t="shared" si="5"/>
        <v>24000</v>
      </c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</row>
    <row r="51" spans="1:199" ht="17.5" x14ac:dyDescent="0.45">
      <c r="A51" s="269" t="s">
        <v>85</v>
      </c>
      <c r="B51" s="317">
        <f t="shared" si="4"/>
        <v>215.57142857142858</v>
      </c>
      <c r="C51" s="242">
        <f t="shared" si="4"/>
        <v>19728</v>
      </c>
      <c r="D51" s="242">
        <f t="shared" si="4"/>
        <v>14440</v>
      </c>
      <c r="E51" s="242">
        <f t="shared" si="2"/>
        <v>34168</v>
      </c>
      <c r="F51" s="242">
        <v>375979.00285714288</v>
      </c>
      <c r="G51" s="242">
        <v>176562.73714285714</v>
      </c>
      <c r="H51" s="242">
        <f t="shared" si="3"/>
        <v>552541.74</v>
      </c>
      <c r="I51" s="242">
        <f t="shared" si="5"/>
        <v>24000</v>
      </c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</row>
    <row r="52" spans="1:199" ht="17.5" x14ac:dyDescent="0.45">
      <c r="A52" s="269" t="s">
        <v>86</v>
      </c>
      <c r="B52" s="317">
        <f t="shared" si="4"/>
        <v>215.57142857142858</v>
      </c>
      <c r="C52" s="242">
        <f t="shared" si="4"/>
        <v>19728</v>
      </c>
      <c r="D52" s="242">
        <f t="shared" si="4"/>
        <v>14440</v>
      </c>
      <c r="E52" s="242">
        <f t="shared" si="2"/>
        <v>34168</v>
      </c>
      <c r="F52" s="242">
        <v>375979.00285714288</v>
      </c>
      <c r="G52" s="242">
        <v>176562.73714285714</v>
      </c>
      <c r="H52" s="242">
        <f t="shared" si="3"/>
        <v>552541.74</v>
      </c>
      <c r="I52" s="242">
        <f t="shared" si="5"/>
        <v>24000</v>
      </c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</row>
    <row r="53" spans="1:199" ht="17.5" x14ac:dyDescent="0.45">
      <c r="A53" s="269" t="s">
        <v>87</v>
      </c>
      <c r="B53" s="317">
        <f t="shared" si="4"/>
        <v>215.57142857142858</v>
      </c>
      <c r="C53" s="242">
        <f t="shared" si="4"/>
        <v>19728</v>
      </c>
      <c r="D53" s="242">
        <f t="shared" si="4"/>
        <v>14440</v>
      </c>
      <c r="E53" s="242">
        <f t="shared" si="2"/>
        <v>34168</v>
      </c>
      <c r="F53" s="242">
        <v>375979.00285714288</v>
      </c>
      <c r="G53" s="242">
        <v>176562.73714285714</v>
      </c>
      <c r="H53" s="242">
        <f t="shared" si="3"/>
        <v>552541.74</v>
      </c>
      <c r="I53" s="242">
        <f t="shared" si="5"/>
        <v>24000</v>
      </c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</row>
    <row r="54" spans="1:199" ht="17.5" x14ac:dyDescent="0.45">
      <c r="A54" s="269" t="s">
        <v>88</v>
      </c>
      <c r="B54" s="317">
        <f t="shared" si="4"/>
        <v>215.57142857142858</v>
      </c>
      <c r="C54" s="242">
        <f t="shared" si="4"/>
        <v>19728</v>
      </c>
      <c r="D54" s="242">
        <f t="shared" si="4"/>
        <v>14440</v>
      </c>
      <c r="E54" s="242">
        <f t="shared" si="2"/>
        <v>34168</v>
      </c>
      <c r="F54" s="242">
        <v>375979.00285714288</v>
      </c>
      <c r="G54" s="242">
        <v>176562.73714285714</v>
      </c>
      <c r="H54" s="242">
        <f t="shared" si="3"/>
        <v>552541.74</v>
      </c>
      <c r="I54" s="242">
        <f t="shared" si="5"/>
        <v>24000</v>
      </c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</row>
    <row r="55" spans="1:199" ht="17.5" x14ac:dyDescent="0.45">
      <c r="A55" s="269" t="s">
        <v>89</v>
      </c>
      <c r="B55" s="317">
        <f t="shared" si="4"/>
        <v>215.57142857142858</v>
      </c>
      <c r="C55" s="242">
        <f t="shared" si="4"/>
        <v>19728</v>
      </c>
      <c r="D55" s="242">
        <f t="shared" si="4"/>
        <v>14440</v>
      </c>
      <c r="E55" s="242">
        <f t="shared" si="2"/>
        <v>34168</v>
      </c>
      <c r="F55" s="242">
        <v>375979.00285714288</v>
      </c>
      <c r="G55" s="242">
        <v>176562.73714285714</v>
      </c>
      <c r="H55" s="242">
        <f t="shared" si="3"/>
        <v>552541.74</v>
      </c>
      <c r="I55" s="242">
        <f t="shared" si="5"/>
        <v>24000</v>
      </c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</row>
    <row r="56" spans="1:199" ht="18" thickBot="1" x14ac:dyDescent="0.5">
      <c r="A56" s="269" t="s">
        <v>90</v>
      </c>
      <c r="B56" s="317">
        <f t="shared" si="4"/>
        <v>215.57142857142858</v>
      </c>
      <c r="C56" s="242">
        <f t="shared" si="4"/>
        <v>19728</v>
      </c>
      <c r="D56" s="242">
        <f t="shared" si="4"/>
        <v>14440</v>
      </c>
      <c r="E56" s="242">
        <f t="shared" si="2"/>
        <v>34168</v>
      </c>
      <c r="F56" s="242">
        <v>375979.00285714288</v>
      </c>
      <c r="G56" s="242">
        <v>176562.73714285714</v>
      </c>
      <c r="H56" s="242">
        <f t="shared" si="3"/>
        <v>552541.74</v>
      </c>
      <c r="I56" s="242">
        <f>+I55</f>
        <v>24000</v>
      </c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</row>
    <row r="57" spans="1:199" ht="18.5" x14ac:dyDescent="0.45">
      <c r="A57" s="269" t="s">
        <v>91</v>
      </c>
      <c r="B57" s="247">
        <f t="shared" ref="B57:I57" si="6">SUM(B7:B56)</f>
        <v>3449.1428571428564</v>
      </c>
      <c r="C57" s="247">
        <f t="shared" si="6"/>
        <v>1300003</v>
      </c>
      <c r="D57" s="247">
        <f t="shared" si="6"/>
        <v>1727171</v>
      </c>
      <c r="E57" s="247">
        <f t="shared" si="6"/>
        <v>3027174</v>
      </c>
      <c r="F57" s="247">
        <f t="shared" si="6"/>
        <v>24829365.277660765</v>
      </c>
      <c r="G57" s="247">
        <f t="shared" si="6"/>
        <v>13696228.246184448</v>
      </c>
      <c r="H57" s="247">
        <f t="shared" si="6"/>
        <v>38525593.523845248</v>
      </c>
      <c r="I57" s="247">
        <f t="shared" si="6"/>
        <v>1200000</v>
      </c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</row>
    <row r="58" spans="1:199" ht="18.5" x14ac:dyDescent="0.45">
      <c r="A58" s="269" t="str">
        <f>+Page_12!A62</f>
        <v>7 - Year Hist Avg (A-12)</v>
      </c>
      <c r="B58" s="242">
        <f>AVERAGE(B41:B47)</f>
        <v>215.57142857142858</v>
      </c>
      <c r="C58" s="242">
        <f>AVERAGE(C41:C47)</f>
        <v>19728</v>
      </c>
      <c r="D58" s="242">
        <f>AVERAGE(D41:D47)</f>
        <v>14440</v>
      </c>
      <c r="E58" s="242">
        <f>SUM(C58:D58)</f>
        <v>34168</v>
      </c>
      <c r="F58" s="242">
        <v>375979.00285714288</v>
      </c>
      <c r="G58" s="242">
        <v>176562.73714285714</v>
      </c>
      <c r="H58" s="242">
        <f>SUM(F58:G58)</f>
        <v>552541.74</v>
      </c>
      <c r="I58" s="242">
        <f>AVERAGE(I41:I47)</f>
        <v>24000</v>
      </c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</row>
    <row r="59" spans="1:199" s="54" customFormat="1" ht="17.5" x14ac:dyDescent="0.45">
      <c r="A59" s="272" t="str">
        <f>+Page_12!A63</f>
        <v>Projected Del. (A-2ba)</v>
      </c>
      <c r="B59" s="242">
        <f>SUM(B49:B56)</f>
        <v>1724.5714285714289</v>
      </c>
      <c r="C59" s="242">
        <f>SUM(C49:C56)</f>
        <v>157824</v>
      </c>
      <c r="D59" s="242">
        <f>SUM(D49:D56)</f>
        <v>115520</v>
      </c>
      <c r="E59" s="242">
        <f>SUM(C59:D59)</f>
        <v>273344</v>
      </c>
      <c r="F59" s="242">
        <v>3007832.0228571431</v>
      </c>
      <c r="G59" s="242">
        <v>1412501.8971428571</v>
      </c>
      <c r="H59" s="242">
        <f>SUM(F59:G59)</f>
        <v>4420333.92</v>
      </c>
      <c r="I59" s="242">
        <f>SUM(I49:I56)</f>
        <v>192000</v>
      </c>
    </row>
    <row r="60" spans="1:199" x14ac:dyDescent="0.35">
      <c r="A60" s="8"/>
      <c r="B60" s="5"/>
      <c r="C60" s="56" t="s">
        <v>102</v>
      </c>
      <c r="D60" s="56" t="s">
        <v>102</v>
      </c>
      <c r="E60" s="56" t="s">
        <v>102</v>
      </c>
      <c r="F60" s="56" t="s">
        <v>102</v>
      </c>
      <c r="G60" s="56" t="s">
        <v>102</v>
      </c>
      <c r="H60" s="56" t="s">
        <v>102</v>
      </c>
      <c r="I60" s="56" t="s">
        <v>102</v>
      </c>
    </row>
    <row r="61" spans="1:199" x14ac:dyDescent="0.35">
      <c r="A61" s="8"/>
      <c r="B61" s="5"/>
      <c r="C61" s="56" t="s">
        <v>102</v>
      </c>
      <c r="D61" s="56"/>
      <c r="E61" s="56"/>
      <c r="F61" s="56"/>
      <c r="G61" s="56"/>
      <c r="H61" s="56"/>
      <c r="I61" s="56"/>
    </row>
    <row r="62" spans="1:199" x14ac:dyDescent="0.35">
      <c r="A62" s="8"/>
      <c r="B62" s="5"/>
      <c r="C62" s="56" t="s">
        <v>102</v>
      </c>
      <c r="D62" s="56"/>
      <c r="E62" s="56"/>
      <c r="F62" s="56"/>
      <c r="G62" s="56"/>
      <c r="H62" s="56"/>
      <c r="I62" s="56"/>
    </row>
    <row r="63" spans="1:199" x14ac:dyDescent="0.35">
      <c r="A63" s="8"/>
      <c r="B63" s="5"/>
      <c r="C63" s="56" t="s">
        <v>102</v>
      </c>
      <c r="D63" s="56"/>
      <c r="E63" s="56"/>
      <c r="F63" s="56"/>
      <c r="G63" s="56"/>
      <c r="H63" s="56"/>
      <c r="I63" s="56"/>
    </row>
    <row r="64" spans="1:199" x14ac:dyDescent="0.35">
      <c r="A64" s="8"/>
      <c r="B64" s="5"/>
      <c r="C64" s="56" t="s">
        <v>102</v>
      </c>
      <c r="D64" s="56"/>
      <c r="E64" s="56"/>
      <c r="F64" s="56"/>
      <c r="G64" s="56"/>
      <c r="H64" s="56"/>
      <c r="I64" s="56"/>
    </row>
    <row r="65" spans="3:9" x14ac:dyDescent="0.35">
      <c r="C65" s="80" t="s">
        <v>102</v>
      </c>
      <c r="D65" s="80"/>
      <c r="E65" s="80"/>
      <c r="F65" s="56"/>
      <c r="G65" s="80"/>
      <c r="H65" s="80" t="s">
        <v>102</v>
      </c>
      <c r="I65" s="80" t="s">
        <v>102</v>
      </c>
    </row>
    <row r="66" spans="3:9" x14ac:dyDescent="0.35">
      <c r="C66" s="30"/>
      <c r="D66" s="30"/>
      <c r="E66" s="30"/>
      <c r="F66" s="30"/>
      <c r="G66" s="30"/>
      <c r="H66" s="30"/>
      <c r="I66" s="30"/>
    </row>
    <row r="67" spans="3:9" x14ac:dyDescent="0.35">
      <c r="C67" s="30"/>
      <c r="D67" s="30"/>
      <c r="E67" s="30"/>
      <c r="F67" s="30"/>
      <c r="G67" s="30"/>
      <c r="H67" s="30"/>
      <c r="I67" s="30"/>
    </row>
    <row r="68" spans="3:9" x14ac:dyDescent="0.35">
      <c r="C68" s="30"/>
      <c r="D68" s="30"/>
      <c r="E68" s="30"/>
      <c r="F68" s="30"/>
      <c r="G68" s="30"/>
      <c r="H68" s="30"/>
      <c r="I68" s="30"/>
    </row>
    <row r="69" spans="3:9" x14ac:dyDescent="0.35">
      <c r="C69" s="30"/>
      <c r="D69" s="30"/>
      <c r="E69" s="30"/>
      <c r="F69" s="30"/>
      <c r="G69" s="30"/>
      <c r="H69" s="30"/>
      <c r="I69" s="30"/>
    </row>
  </sheetData>
  <printOptions horizontalCentered="1"/>
  <pageMargins left="0.25" right="0.25" top="0.5" bottom="0.5" header="0.3" footer="0.3"/>
  <pageSetup scale="46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Button 1">
              <controlPr defaultSize="0" print="0" autoFill="0" autoPict="0" macro="[0]!pdfPage10">
                <anchor moveWithCells="1" sizeWithCells="1">
                  <from>
                    <xdr:col>0</xdr:col>
                    <xdr:colOff>31750</xdr:colOff>
                    <xdr:row>0</xdr:row>
                    <xdr:rowOff>19050</xdr:rowOff>
                  </from>
                  <to>
                    <xdr:col>0</xdr:col>
                    <xdr:colOff>107950</xdr:colOff>
                    <xdr:row>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Button 2">
              <controlPr defaultSize="0" print="0" autoFill="0" autoPict="0" macro="[0]!pdfPage10">
                <anchor moveWithCells="1" sizeWithCells="1">
                  <from>
                    <xdr:col>0</xdr:col>
                    <xdr:colOff>19050</xdr:colOff>
                    <xdr:row>0</xdr:row>
                    <xdr:rowOff>88900</xdr:rowOff>
                  </from>
                  <to>
                    <xdr:col>0</xdr:col>
                    <xdr:colOff>107950</xdr:colOff>
                    <xdr:row>0</xdr:row>
                    <xdr:rowOff>114300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0A11C2-FC3E-4F7F-988D-C93654A18B59}">
  <sheetPr transitionEvaluation="1" transitionEntry="1" codeName="Sheet12">
    <pageSetUpPr fitToPage="1"/>
  </sheetPr>
  <dimension ref="A1:ID218"/>
  <sheetViews>
    <sheetView defaultGridColor="0" colorId="22" zoomScale="85" zoomScaleNormal="85" zoomScaleSheetLayoutView="120" workbookViewId="0">
      <selection activeCell="D15" sqref="D15"/>
    </sheetView>
  </sheetViews>
  <sheetFormatPr defaultColWidth="9.58203125" defaultRowHeight="15.5" x14ac:dyDescent="0.35"/>
  <cols>
    <col min="1" max="1" width="40.58203125" customWidth="1"/>
    <col min="2" max="10" width="18.83203125" style="9" customWidth="1"/>
  </cols>
  <sheetData>
    <row r="1" spans="1:238" s="2" customFormat="1" ht="21" x14ac:dyDescent="0.55000000000000004">
      <c r="A1" s="289" t="str">
        <f>Page_1!A1</f>
        <v>IRR 2023 Sch A-13 F.Z25.XLSM</v>
      </c>
      <c r="B1" s="237"/>
      <c r="C1" s="275"/>
      <c r="D1" s="275"/>
      <c r="E1" s="275"/>
      <c r="F1" s="275"/>
      <c r="G1" s="275"/>
      <c r="H1" s="275"/>
      <c r="I1" s="275"/>
      <c r="J1" s="276"/>
      <c r="K1" s="1"/>
      <c r="L1" s="1"/>
      <c r="M1" s="1"/>
    </row>
    <row r="2" spans="1:238" s="2" customFormat="1" ht="21" x14ac:dyDescent="0.55000000000000004">
      <c r="A2" s="318" t="str">
        <f>Page_1!A2</f>
        <v>09/20/2022</v>
      </c>
      <c r="B2" s="320"/>
      <c r="C2" s="275"/>
      <c r="D2" s="275"/>
      <c r="E2" s="275"/>
      <c r="F2" s="275"/>
      <c r="G2" s="275"/>
      <c r="H2" s="275"/>
      <c r="I2" s="275"/>
      <c r="J2" s="276"/>
      <c r="K2" s="1"/>
      <c r="L2" s="1"/>
      <c r="M2" s="1"/>
    </row>
    <row r="3" spans="1:238" s="2" customFormat="1" ht="21" x14ac:dyDescent="0.55000000000000004">
      <c r="A3" s="237" t="str">
        <f>Page_1!A3</f>
        <v>CENTRAL VALLEY PROJECT</v>
      </c>
      <c r="B3" s="320"/>
      <c r="C3" s="275"/>
      <c r="D3" s="275"/>
      <c r="E3" s="275"/>
      <c r="F3" s="275"/>
      <c r="G3" s="275"/>
      <c r="H3" s="275"/>
      <c r="I3" s="275"/>
      <c r="J3" s="273"/>
      <c r="K3" s="1"/>
      <c r="L3" s="1"/>
      <c r="M3" s="1"/>
    </row>
    <row r="4" spans="1:238" s="2" customFormat="1" ht="84" x14ac:dyDescent="0.55000000000000004">
      <c r="A4" s="237" t="str">
        <f>Page_1!A4</f>
        <v>SCHEDULE OF HISTORICAL (1981-2021) &amp; PROJECTED (2022-2030) IRRIGATION WATER DELIVERIES (IN ACRE FEET)</v>
      </c>
      <c r="B4" s="320"/>
      <c r="C4" s="275"/>
      <c r="D4" s="275"/>
      <c r="E4" s="275"/>
      <c r="F4" s="275"/>
      <c r="G4" s="275"/>
      <c r="H4" s="275"/>
      <c r="I4" s="275"/>
      <c r="J4" s="273"/>
      <c r="K4" s="1"/>
      <c r="L4" s="1"/>
      <c r="M4" s="1"/>
    </row>
    <row r="5" spans="1:238" ht="63" x14ac:dyDescent="0.55000000000000004">
      <c r="A5" s="237" t="str">
        <f>Page_1!A5</f>
        <v>FOR CALCULATION OF INDIVIDUAL CONTRACTOR PRORATED CONSTRUCTION COSTS AND RATE</v>
      </c>
      <c r="B5" s="320"/>
      <c r="C5" s="274"/>
      <c r="D5" s="274"/>
      <c r="E5" s="274"/>
      <c r="F5" s="274"/>
      <c r="G5" s="274"/>
      <c r="H5" s="274"/>
      <c r="I5" s="274"/>
      <c r="J5" s="274"/>
      <c r="K5" s="5"/>
      <c r="L5" s="5"/>
      <c r="M5" s="5"/>
    </row>
    <row r="6" spans="1:238" s="69" customFormat="1" ht="105" x14ac:dyDescent="0.35">
      <c r="A6" s="395" t="s">
        <v>34</v>
      </c>
      <c r="B6" s="396" t="s">
        <v>152</v>
      </c>
      <c r="C6" s="397" t="s">
        <v>153</v>
      </c>
      <c r="D6" s="398" t="s">
        <v>154</v>
      </c>
      <c r="E6" s="366" t="s">
        <v>155</v>
      </c>
      <c r="F6" s="363" t="s">
        <v>156</v>
      </c>
      <c r="G6" s="364" t="s">
        <v>157</v>
      </c>
      <c r="H6" s="365" t="s">
        <v>158</v>
      </c>
      <c r="I6" s="365" t="s">
        <v>159</v>
      </c>
      <c r="J6" s="365" t="s">
        <v>449</v>
      </c>
      <c r="K6" s="68"/>
      <c r="L6" s="68"/>
      <c r="M6" s="68"/>
    </row>
    <row r="7" spans="1:238" ht="17.5" x14ac:dyDescent="0.45">
      <c r="A7" s="296" t="s">
        <v>42</v>
      </c>
      <c r="B7" s="281">
        <v>71804</v>
      </c>
      <c r="C7" s="281">
        <v>9638</v>
      </c>
      <c r="D7" s="281">
        <f t="shared" ref="D7:D38" si="0">SUM(B7:C7)</f>
        <v>81442</v>
      </c>
      <c r="E7" s="281">
        <v>116315</v>
      </c>
      <c r="F7" s="281">
        <v>13344</v>
      </c>
      <c r="G7" s="281">
        <f t="shared" ref="G7:G38" si="1">SUM(E7:F7)</f>
        <v>129659</v>
      </c>
      <c r="H7" s="281">
        <f t="shared" ref="H7:H35" si="2">B7+E7</f>
        <v>188119</v>
      </c>
      <c r="I7" s="281">
        <f t="shared" ref="I7:I35" si="3">C7+F7</f>
        <v>22982</v>
      </c>
      <c r="J7" s="281">
        <f t="shared" ref="J7:J38" si="4">SUM(H7:I7)</f>
        <v>211101</v>
      </c>
      <c r="K7" s="57"/>
      <c r="L7" s="63" t="s">
        <v>102</v>
      </c>
      <c r="M7" s="63" t="s">
        <v>102</v>
      </c>
      <c r="N7" s="79" t="s">
        <v>102</v>
      </c>
      <c r="O7" s="79" t="s">
        <v>102</v>
      </c>
      <c r="P7" s="79" t="s">
        <v>102</v>
      </c>
      <c r="Q7" s="79" t="s">
        <v>102</v>
      </c>
      <c r="R7" s="48"/>
      <c r="S7" s="48"/>
      <c r="T7" s="48"/>
      <c r="U7" s="48"/>
      <c r="V7" s="48"/>
      <c r="W7" s="48"/>
      <c r="X7" s="48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</row>
    <row r="8" spans="1:238" ht="17.5" x14ac:dyDescent="0.45">
      <c r="A8" s="296" t="s">
        <v>43</v>
      </c>
      <c r="B8" s="281">
        <v>36013</v>
      </c>
      <c r="C8" s="281">
        <v>184000</v>
      </c>
      <c r="D8" s="281">
        <f t="shared" si="0"/>
        <v>220013</v>
      </c>
      <c r="E8" s="281">
        <v>55599</v>
      </c>
      <c r="F8" s="281">
        <v>215760</v>
      </c>
      <c r="G8" s="281">
        <f t="shared" si="1"/>
        <v>271359</v>
      </c>
      <c r="H8" s="281">
        <f t="shared" si="2"/>
        <v>91612</v>
      </c>
      <c r="I8" s="281">
        <f t="shared" si="3"/>
        <v>399760</v>
      </c>
      <c r="J8" s="281">
        <f t="shared" si="4"/>
        <v>491372</v>
      </c>
      <c r="K8" s="57"/>
      <c r="L8" s="63" t="s">
        <v>102</v>
      </c>
      <c r="M8" s="63" t="s">
        <v>102</v>
      </c>
      <c r="N8" s="79" t="s">
        <v>102</v>
      </c>
      <c r="O8" s="79" t="s">
        <v>102</v>
      </c>
      <c r="P8" s="79" t="s">
        <v>102</v>
      </c>
      <c r="Q8" s="79" t="s">
        <v>102</v>
      </c>
      <c r="R8" s="48"/>
      <c r="S8" s="48"/>
      <c r="T8" s="48"/>
      <c r="U8" s="48"/>
      <c r="V8" s="48"/>
      <c r="W8" s="48"/>
      <c r="X8" s="48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  <c r="IA8" s="49"/>
      <c r="IB8" s="49"/>
      <c r="IC8" s="49"/>
      <c r="ID8" s="49"/>
    </row>
    <row r="9" spans="1:238" ht="17.5" x14ac:dyDescent="0.45">
      <c r="A9" s="296" t="s">
        <v>44</v>
      </c>
      <c r="B9" s="281">
        <v>73720</v>
      </c>
      <c r="C9" s="281">
        <v>160000</v>
      </c>
      <c r="D9" s="281">
        <f t="shared" si="0"/>
        <v>233720</v>
      </c>
      <c r="E9" s="281">
        <v>78499</v>
      </c>
      <c r="F9" s="281">
        <v>186000</v>
      </c>
      <c r="G9" s="281">
        <f t="shared" si="1"/>
        <v>264499</v>
      </c>
      <c r="H9" s="281">
        <f t="shared" si="2"/>
        <v>152219</v>
      </c>
      <c r="I9" s="281">
        <f t="shared" si="3"/>
        <v>346000</v>
      </c>
      <c r="J9" s="281">
        <f t="shared" si="4"/>
        <v>498219</v>
      </c>
      <c r="K9" s="57"/>
      <c r="L9" s="63" t="s">
        <v>102</v>
      </c>
      <c r="M9" s="63" t="s">
        <v>102</v>
      </c>
      <c r="N9" s="79" t="s">
        <v>102</v>
      </c>
      <c r="O9" s="79" t="s">
        <v>102</v>
      </c>
      <c r="P9" s="79" t="s">
        <v>102</v>
      </c>
      <c r="Q9" s="79" t="s">
        <v>102</v>
      </c>
      <c r="R9" s="48"/>
      <c r="S9" s="48"/>
      <c r="T9" s="48"/>
      <c r="U9" s="48"/>
      <c r="V9" s="48"/>
      <c r="W9" s="48"/>
      <c r="X9" s="48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</row>
    <row r="10" spans="1:238" ht="17.5" x14ac:dyDescent="0.45">
      <c r="A10" s="296" t="s">
        <v>45</v>
      </c>
      <c r="B10" s="281">
        <v>47144</v>
      </c>
      <c r="C10" s="281">
        <v>76800</v>
      </c>
      <c r="D10" s="281">
        <f t="shared" si="0"/>
        <v>123944</v>
      </c>
      <c r="E10" s="281">
        <v>116115</v>
      </c>
      <c r="F10" s="281">
        <v>89222</v>
      </c>
      <c r="G10" s="281">
        <f t="shared" si="1"/>
        <v>205337</v>
      </c>
      <c r="H10" s="281">
        <f t="shared" si="2"/>
        <v>163259</v>
      </c>
      <c r="I10" s="281">
        <f t="shared" si="3"/>
        <v>166022</v>
      </c>
      <c r="J10" s="281">
        <f t="shared" si="4"/>
        <v>329281</v>
      </c>
      <c r="K10" s="57"/>
      <c r="L10" s="63" t="s">
        <v>102</v>
      </c>
      <c r="M10" s="63" t="s">
        <v>102</v>
      </c>
      <c r="N10" s="79" t="s">
        <v>102</v>
      </c>
      <c r="O10" s="79" t="s">
        <v>102</v>
      </c>
      <c r="P10" s="79" t="s">
        <v>102</v>
      </c>
      <c r="Q10" s="79" t="s">
        <v>102</v>
      </c>
      <c r="R10" s="48"/>
      <c r="S10" s="48"/>
      <c r="T10" s="48"/>
      <c r="U10" s="48"/>
      <c r="V10" s="48"/>
      <c r="W10" s="48"/>
      <c r="X10" s="48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</row>
    <row r="11" spans="1:238" ht="17.5" x14ac:dyDescent="0.45">
      <c r="A11" s="296" t="s">
        <v>46</v>
      </c>
      <c r="B11" s="281">
        <v>63123</v>
      </c>
      <c r="C11" s="281">
        <v>12966</v>
      </c>
      <c r="D11" s="281">
        <f t="shared" si="0"/>
        <v>76089</v>
      </c>
      <c r="E11" s="281">
        <v>90717</v>
      </c>
      <c r="F11" s="281">
        <v>46310</v>
      </c>
      <c r="G11" s="281">
        <f t="shared" si="1"/>
        <v>137027</v>
      </c>
      <c r="H11" s="281">
        <f t="shared" si="2"/>
        <v>153840</v>
      </c>
      <c r="I11" s="281">
        <f t="shared" si="3"/>
        <v>59276</v>
      </c>
      <c r="J11" s="281">
        <f t="shared" si="4"/>
        <v>213116</v>
      </c>
      <c r="K11" s="57"/>
      <c r="L11" s="63" t="s">
        <v>102</v>
      </c>
      <c r="M11" s="63" t="s">
        <v>102</v>
      </c>
      <c r="N11" s="79" t="s">
        <v>102</v>
      </c>
      <c r="O11" s="79" t="s">
        <v>102</v>
      </c>
      <c r="P11" s="79" t="s">
        <v>102</v>
      </c>
      <c r="Q11" s="79" t="s">
        <v>102</v>
      </c>
      <c r="R11" s="48"/>
      <c r="S11" s="48"/>
      <c r="T11" s="48"/>
      <c r="U11" s="48"/>
      <c r="V11" s="48"/>
      <c r="W11" s="48"/>
      <c r="X11" s="48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</row>
    <row r="12" spans="1:238" ht="17.5" x14ac:dyDescent="0.45">
      <c r="A12" s="296" t="s">
        <v>47</v>
      </c>
      <c r="B12" s="281">
        <v>33718</v>
      </c>
      <c r="C12" s="281">
        <v>174400</v>
      </c>
      <c r="D12" s="281">
        <f t="shared" si="0"/>
        <v>208118</v>
      </c>
      <c r="E12" s="281">
        <v>65782</v>
      </c>
      <c r="F12" s="281">
        <v>196219</v>
      </c>
      <c r="G12" s="281">
        <f t="shared" si="1"/>
        <v>262001</v>
      </c>
      <c r="H12" s="281">
        <f t="shared" si="2"/>
        <v>99500</v>
      </c>
      <c r="I12" s="281">
        <f t="shared" si="3"/>
        <v>370619</v>
      </c>
      <c r="J12" s="281">
        <f t="shared" si="4"/>
        <v>470119</v>
      </c>
      <c r="K12" s="57"/>
      <c r="L12" s="63" t="s">
        <v>102</v>
      </c>
      <c r="M12" s="63" t="s">
        <v>102</v>
      </c>
      <c r="N12" s="79" t="s">
        <v>102</v>
      </c>
      <c r="O12" s="79" t="s">
        <v>102</v>
      </c>
      <c r="P12" s="79" t="s">
        <v>102</v>
      </c>
      <c r="Q12" s="79" t="s">
        <v>102</v>
      </c>
      <c r="R12" s="48"/>
      <c r="S12" s="48"/>
      <c r="T12" s="48"/>
      <c r="U12" s="48"/>
      <c r="V12" s="48"/>
      <c r="W12" s="48"/>
      <c r="X12" s="48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</row>
    <row r="13" spans="1:238" ht="17.5" x14ac:dyDescent="0.45">
      <c r="A13" s="296" t="s">
        <v>48</v>
      </c>
      <c r="B13" s="281">
        <v>76475</v>
      </c>
      <c r="C13" s="287">
        <v>0</v>
      </c>
      <c r="D13" s="281">
        <f t="shared" si="0"/>
        <v>76475</v>
      </c>
      <c r="E13" s="281">
        <v>98481</v>
      </c>
      <c r="F13" s="287">
        <v>0</v>
      </c>
      <c r="G13" s="281">
        <f t="shared" si="1"/>
        <v>98481</v>
      </c>
      <c r="H13" s="281">
        <f t="shared" si="2"/>
        <v>174956</v>
      </c>
      <c r="I13" s="287">
        <f t="shared" si="3"/>
        <v>0</v>
      </c>
      <c r="J13" s="281">
        <f t="shared" si="4"/>
        <v>174956</v>
      </c>
      <c r="K13" s="57"/>
      <c r="L13" s="63" t="s">
        <v>102</v>
      </c>
      <c r="M13" s="63" t="s">
        <v>102</v>
      </c>
      <c r="N13" s="79" t="s">
        <v>102</v>
      </c>
      <c r="O13" s="79" t="s">
        <v>102</v>
      </c>
      <c r="P13" s="79" t="s">
        <v>102</v>
      </c>
      <c r="Q13" s="79" t="s">
        <v>102</v>
      </c>
      <c r="R13" s="48"/>
      <c r="S13" s="48"/>
      <c r="T13" s="48"/>
      <c r="U13" s="48"/>
      <c r="V13" s="48"/>
      <c r="W13" s="48"/>
      <c r="X13" s="48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</row>
    <row r="14" spans="1:238" ht="17.5" x14ac:dyDescent="0.45">
      <c r="A14" s="296" t="s">
        <v>49</v>
      </c>
      <c r="B14" s="281">
        <v>43020</v>
      </c>
      <c r="C14" s="287">
        <v>0</v>
      </c>
      <c r="D14" s="281">
        <f t="shared" si="0"/>
        <v>43020</v>
      </c>
      <c r="E14" s="281">
        <v>78357</v>
      </c>
      <c r="F14" s="287">
        <v>0</v>
      </c>
      <c r="G14" s="281">
        <f t="shared" si="1"/>
        <v>78357</v>
      </c>
      <c r="H14" s="281">
        <f t="shared" si="2"/>
        <v>121377</v>
      </c>
      <c r="I14" s="287">
        <f t="shared" si="3"/>
        <v>0</v>
      </c>
      <c r="J14" s="281">
        <f t="shared" si="4"/>
        <v>121377</v>
      </c>
      <c r="K14" s="57"/>
      <c r="L14" s="63" t="s">
        <v>102</v>
      </c>
      <c r="M14" s="63" t="s">
        <v>102</v>
      </c>
      <c r="N14" s="79" t="s">
        <v>102</v>
      </c>
      <c r="O14" s="79" t="s">
        <v>102</v>
      </c>
      <c r="P14" s="79" t="s">
        <v>102</v>
      </c>
      <c r="Q14" s="79" t="s">
        <v>102</v>
      </c>
      <c r="R14" s="48"/>
      <c r="S14" s="48"/>
      <c r="T14" s="48"/>
      <c r="U14" s="48"/>
      <c r="V14" s="48"/>
      <c r="W14" s="48"/>
      <c r="X14" s="48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  <c r="ID14" s="49"/>
    </row>
    <row r="15" spans="1:238" ht="17.5" x14ac:dyDescent="0.45">
      <c r="A15" s="296" t="s">
        <v>50</v>
      </c>
      <c r="B15" s="281">
        <v>54002</v>
      </c>
      <c r="C15" s="287">
        <v>0</v>
      </c>
      <c r="D15" s="281">
        <f t="shared" si="0"/>
        <v>54002</v>
      </c>
      <c r="E15" s="281">
        <v>89770</v>
      </c>
      <c r="F15" s="287">
        <v>0</v>
      </c>
      <c r="G15" s="281">
        <f t="shared" si="1"/>
        <v>89770</v>
      </c>
      <c r="H15" s="281">
        <f t="shared" si="2"/>
        <v>143772</v>
      </c>
      <c r="I15" s="287">
        <f t="shared" si="3"/>
        <v>0</v>
      </c>
      <c r="J15" s="281">
        <f t="shared" si="4"/>
        <v>143772</v>
      </c>
      <c r="K15" s="57"/>
      <c r="L15" s="63" t="s">
        <v>102</v>
      </c>
      <c r="M15" s="63" t="s">
        <v>102</v>
      </c>
      <c r="N15" s="79" t="s">
        <v>102</v>
      </c>
      <c r="O15" s="79" t="s">
        <v>102</v>
      </c>
      <c r="P15" s="79" t="s">
        <v>102</v>
      </c>
      <c r="Q15" s="79" t="s">
        <v>102</v>
      </c>
      <c r="R15" s="48"/>
      <c r="S15" s="48"/>
      <c r="T15" s="48"/>
      <c r="U15" s="48"/>
      <c r="V15" s="48"/>
      <c r="W15" s="48"/>
      <c r="X15" s="48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</row>
    <row r="16" spans="1:238" ht="17.5" x14ac:dyDescent="0.45">
      <c r="A16" s="296" t="s">
        <v>51</v>
      </c>
      <c r="B16" s="281">
        <v>38739</v>
      </c>
      <c r="C16" s="287">
        <v>0</v>
      </c>
      <c r="D16" s="281">
        <f t="shared" si="0"/>
        <v>38739</v>
      </c>
      <c r="E16" s="281">
        <v>60084</v>
      </c>
      <c r="F16" s="287">
        <v>0</v>
      </c>
      <c r="G16" s="281">
        <f t="shared" si="1"/>
        <v>60084</v>
      </c>
      <c r="H16" s="281">
        <f t="shared" si="2"/>
        <v>98823</v>
      </c>
      <c r="I16" s="287">
        <f t="shared" si="3"/>
        <v>0</v>
      </c>
      <c r="J16" s="281">
        <f t="shared" si="4"/>
        <v>98823</v>
      </c>
      <c r="K16" s="57"/>
      <c r="L16" s="63" t="s">
        <v>102</v>
      </c>
      <c r="M16" s="63" t="s">
        <v>102</v>
      </c>
      <c r="N16" s="79" t="s">
        <v>102</v>
      </c>
      <c r="O16" s="79" t="s">
        <v>102</v>
      </c>
      <c r="P16" s="79" t="s">
        <v>102</v>
      </c>
      <c r="Q16" s="79" t="s">
        <v>102</v>
      </c>
      <c r="R16" s="48"/>
      <c r="S16" s="48"/>
      <c r="T16" s="48"/>
      <c r="U16" s="48"/>
      <c r="V16" s="48"/>
      <c r="W16" s="48"/>
      <c r="X16" s="48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  <c r="ID16" s="49"/>
    </row>
    <row r="17" spans="1:238" ht="17.5" x14ac:dyDescent="0.45">
      <c r="A17" s="296" t="s">
        <v>52</v>
      </c>
      <c r="B17" s="281">
        <v>55044</v>
      </c>
      <c r="C17" s="287">
        <v>0</v>
      </c>
      <c r="D17" s="281">
        <f t="shared" si="0"/>
        <v>55044</v>
      </c>
      <c r="E17" s="281">
        <v>85089</v>
      </c>
      <c r="F17" s="287">
        <v>0</v>
      </c>
      <c r="G17" s="281">
        <f t="shared" si="1"/>
        <v>85089</v>
      </c>
      <c r="H17" s="281">
        <f t="shared" si="2"/>
        <v>140133</v>
      </c>
      <c r="I17" s="287">
        <f t="shared" si="3"/>
        <v>0</v>
      </c>
      <c r="J17" s="281">
        <f t="shared" si="4"/>
        <v>140133</v>
      </c>
      <c r="K17" s="57"/>
      <c r="L17" s="63" t="s">
        <v>102</v>
      </c>
      <c r="M17" s="63" t="s">
        <v>102</v>
      </c>
      <c r="N17" s="79" t="s">
        <v>102</v>
      </c>
      <c r="O17" s="79" t="s">
        <v>102</v>
      </c>
      <c r="P17" s="79" t="s">
        <v>102</v>
      </c>
      <c r="Q17" s="79" t="s">
        <v>102</v>
      </c>
      <c r="R17" s="48"/>
      <c r="S17" s="48"/>
      <c r="T17" s="48"/>
      <c r="U17" s="48"/>
      <c r="V17" s="48"/>
      <c r="W17" s="48"/>
      <c r="X17" s="48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  <c r="ID17" s="49"/>
    </row>
    <row r="18" spans="1:238" ht="17.5" x14ac:dyDescent="0.45">
      <c r="A18" s="296" t="s">
        <v>53</v>
      </c>
      <c r="B18" s="281">
        <v>45650</v>
      </c>
      <c r="C18" s="287">
        <v>0</v>
      </c>
      <c r="D18" s="281">
        <f t="shared" si="0"/>
        <v>45650</v>
      </c>
      <c r="E18" s="281">
        <v>70549</v>
      </c>
      <c r="F18" s="287">
        <v>0</v>
      </c>
      <c r="G18" s="281">
        <f t="shared" si="1"/>
        <v>70549</v>
      </c>
      <c r="H18" s="281">
        <f t="shared" si="2"/>
        <v>116199</v>
      </c>
      <c r="I18" s="287">
        <f t="shared" si="3"/>
        <v>0</v>
      </c>
      <c r="J18" s="281">
        <f t="shared" si="4"/>
        <v>116199</v>
      </c>
      <c r="K18" s="57"/>
      <c r="L18" s="63" t="s">
        <v>102</v>
      </c>
      <c r="M18" s="63" t="s">
        <v>102</v>
      </c>
      <c r="N18" s="79" t="s">
        <v>102</v>
      </c>
      <c r="O18" s="79" t="s">
        <v>102</v>
      </c>
      <c r="P18" s="79" t="s">
        <v>102</v>
      </c>
      <c r="Q18" s="79" t="s">
        <v>102</v>
      </c>
      <c r="R18" s="48"/>
      <c r="S18" s="48"/>
      <c r="T18" s="48"/>
      <c r="U18" s="48"/>
      <c r="V18" s="48"/>
      <c r="W18" s="48"/>
      <c r="X18" s="48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  <c r="IA18" s="49"/>
      <c r="IB18" s="49"/>
      <c r="IC18" s="49"/>
      <c r="ID18" s="49"/>
    </row>
    <row r="19" spans="1:238" ht="17.5" x14ac:dyDescent="0.45">
      <c r="A19" s="296" t="s">
        <v>54</v>
      </c>
      <c r="B19" s="281">
        <v>33664</v>
      </c>
      <c r="C19" s="281">
        <v>144000</v>
      </c>
      <c r="D19" s="281">
        <f t="shared" si="0"/>
        <v>177664</v>
      </c>
      <c r="E19" s="281">
        <v>43800</v>
      </c>
      <c r="F19" s="281">
        <v>167400</v>
      </c>
      <c r="G19" s="281">
        <f t="shared" si="1"/>
        <v>211200</v>
      </c>
      <c r="H19" s="281">
        <f t="shared" si="2"/>
        <v>77464</v>
      </c>
      <c r="I19" s="281">
        <f t="shared" si="3"/>
        <v>311400</v>
      </c>
      <c r="J19" s="281">
        <f t="shared" si="4"/>
        <v>388864</v>
      </c>
      <c r="K19" s="57"/>
      <c r="L19" s="63" t="s">
        <v>102</v>
      </c>
      <c r="M19" s="63" t="s">
        <v>102</v>
      </c>
      <c r="N19" s="79" t="s">
        <v>102</v>
      </c>
      <c r="O19" s="79" t="s">
        <v>102</v>
      </c>
      <c r="P19" s="79" t="s">
        <v>102</v>
      </c>
      <c r="Q19" s="79" t="s">
        <v>102</v>
      </c>
      <c r="R19" s="48"/>
      <c r="S19" s="48"/>
      <c r="T19" s="48"/>
      <c r="U19" s="48"/>
      <c r="V19" s="48"/>
      <c r="W19" s="48"/>
      <c r="X19" s="48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</row>
    <row r="20" spans="1:238" ht="17.5" x14ac:dyDescent="0.45">
      <c r="A20" s="296" t="s">
        <v>55</v>
      </c>
      <c r="B20" s="281">
        <v>73117</v>
      </c>
      <c r="C20" s="287">
        <v>0</v>
      </c>
      <c r="D20" s="281">
        <f t="shared" si="0"/>
        <v>73117</v>
      </c>
      <c r="E20" s="281">
        <v>124760</v>
      </c>
      <c r="F20" s="287">
        <v>0</v>
      </c>
      <c r="G20" s="281">
        <f t="shared" si="1"/>
        <v>124760</v>
      </c>
      <c r="H20" s="281">
        <f t="shared" si="2"/>
        <v>197877</v>
      </c>
      <c r="I20" s="287">
        <f t="shared" si="3"/>
        <v>0</v>
      </c>
      <c r="J20" s="281">
        <f t="shared" si="4"/>
        <v>197877</v>
      </c>
      <c r="K20" s="57"/>
      <c r="L20" s="63" t="s">
        <v>102</v>
      </c>
      <c r="M20" s="63" t="s">
        <v>102</v>
      </c>
      <c r="N20" s="79" t="s">
        <v>102</v>
      </c>
      <c r="O20" s="79" t="s">
        <v>102</v>
      </c>
      <c r="P20" s="79" t="s">
        <v>102</v>
      </c>
      <c r="Q20" s="79" t="s">
        <v>102</v>
      </c>
      <c r="R20" s="48"/>
      <c r="S20" s="48"/>
      <c r="T20" s="48"/>
      <c r="U20" s="48"/>
      <c r="V20" s="48"/>
      <c r="W20" s="48"/>
      <c r="X20" s="48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  <c r="IA20" s="49"/>
      <c r="IB20" s="49"/>
      <c r="IC20" s="49"/>
      <c r="ID20" s="49"/>
    </row>
    <row r="21" spans="1:238" ht="17.5" x14ac:dyDescent="0.45">
      <c r="A21" s="296" t="s">
        <v>56</v>
      </c>
      <c r="B21" s="283">
        <v>0</v>
      </c>
      <c r="C21" s="281">
        <v>44314</v>
      </c>
      <c r="D21" s="281">
        <f t="shared" si="0"/>
        <v>44314</v>
      </c>
      <c r="E21" s="281">
        <v>12447</v>
      </c>
      <c r="F21" s="281">
        <v>158253</v>
      </c>
      <c r="G21" s="281">
        <f t="shared" si="1"/>
        <v>170700</v>
      </c>
      <c r="H21" s="281">
        <f t="shared" si="2"/>
        <v>12447</v>
      </c>
      <c r="I21" s="281">
        <f t="shared" si="3"/>
        <v>202567</v>
      </c>
      <c r="J21" s="281">
        <f t="shared" si="4"/>
        <v>215014</v>
      </c>
      <c r="K21" s="57"/>
      <c r="L21" s="63" t="s">
        <v>102</v>
      </c>
      <c r="M21" s="63" t="s">
        <v>102</v>
      </c>
      <c r="N21" s="79" t="s">
        <v>102</v>
      </c>
      <c r="O21" s="79" t="s">
        <v>102</v>
      </c>
      <c r="P21" s="79" t="s">
        <v>102</v>
      </c>
      <c r="Q21" s="79" t="s">
        <v>102</v>
      </c>
      <c r="R21" s="48"/>
      <c r="S21" s="48"/>
      <c r="T21" s="48"/>
      <c r="U21" s="48"/>
      <c r="V21" s="48"/>
      <c r="W21" s="48"/>
      <c r="X21" s="48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  <c r="IB21" s="49"/>
      <c r="IC21" s="49"/>
      <c r="ID21" s="49"/>
    </row>
    <row r="22" spans="1:238" ht="17.5" x14ac:dyDescent="0.45">
      <c r="A22" s="296" t="s">
        <v>57</v>
      </c>
      <c r="B22" s="281">
        <v>65924</v>
      </c>
      <c r="C22" s="281">
        <v>207719</v>
      </c>
      <c r="D22" s="281">
        <f t="shared" si="0"/>
        <v>273643</v>
      </c>
      <c r="E22" s="281">
        <v>118420</v>
      </c>
      <c r="F22" s="281">
        <v>134506</v>
      </c>
      <c r="G22" s="281">
        <f t="shared" si="1"/>
        <v>252926</v>
      </c>
      <c r="H22" s="281">
        <f t="shared" si="2"/>
        <v>184344</v>
      </c>
      <c r="I22" s="281">
        <f t="shared" si="3"/>
        <v>342225</v>
      </c>
      <c r="J22" s="281">
        <f t="shared" si="4"/>
        <v>526569</v>
      </c>
      <c r="K22" s="57"/>
      <c r="L22" s="63" t="s">
        <v>102</v>
      </c>
      <c r="M22" s="63" t="s">
        <v>102</v>
      </c>
      <c r="N22" s="79" t="s">
        <v>102</v>
      </c>
      <c r="O22" s="79" t="s">
        <v>102</v>
      </c>
      <c r="P22" s="79" t="s">
        <v>102</v>
      </c>
      <c r="Q22" s="79" t="s">
        <v>102</v>
      </c>
      <c r="R22" s="48"/>
      <c r="S22" s="48"/>
      <c r="T22" s="48"/>
      <c r="U22" s="48"/>
      <c r="V22" s="48"/>
      <c r="W22" s="48"/>
      <c r="X22" s="48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  <c r="IA22" s="49"/>
      <c r="IB22" s="49"/>
      <c r="IC22" s="49"/>
      <c r="ID22" s="49"/>
    </row>
    <row r="23" spans="1:238" ht="17.5" x14ac:dyDescent="0.45">
      <c r="A23" s="296" t="s">
        <v>58</v>
      </c>
      <c r="B23" s="281">
        <v>61669</v>
      </c>
      <c r="C23" s="281">
        <v>82288</v>
      </c>
      <c r="D23" s="281">
        <f t="shared" si="0"/>
        <v>143957</v>
      </c>
      <c r="E23" s="281">
        <v>69107</v>
      </c>
      <c r="F23" s="281">
        <v>102217</v>
      </c>
      <c r="G23" s="281">
        <f t="shared" si="1"/>
        <v>171324</v>
      </c>
      <c r="H23" s="281">
        <f t="shared" si="2"/>
        <v>130776</v>
      </c>
      <c r="I23" s="281">
        <f t="shared" si="3"/>
        <v>184505</v>
      </c>
      <c r="J23" s="281">
        <f t="shared" si="4"/>
        <v>315281</v>
      </c>
      <c r="K23" s="57"/>
      <c r="L23" s="63" t="s">
        <v>102</v>
      </c>
      <c r="M23" s="63" t="s">
        <v>102</v>
      </c>
      <c r="N23" s="79" t="s">
        <v>102</v>
      </c>
      <c r="O23" s="79" t="s">
        <v>102</v>
      </c>
      <c r="P23" s="79" t="s">
        <v>102</v>
      </c>
      <c r="Q23" s="79" t="s">
        <v>102</v>
      </c>
      <c r="R23" s="48"/>
      <c r="S23" s="48"/>
      <c r="T23" s="48"/>
      <c r="U23" s="48"/>
      <c r="V23" s="48"/>
      <c r="W23" s="48"/>
      <c r="X23" s="48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  <c r="IB23" s="49"/>
      <c r="IC23" s="49"/>
      <c r="ID23" s="49"/>
    </row>
    <row r="24" spans="1:238" ht="17.5" x14ac:dyDescent="0.45">
      <c r="A24" s="296" t="s">
        <v>59</v>
      </c>
      <c r="B24" s="281">
        <v>47154</v>
      </c>
      <c r="C24" s="281">
        <v>14865</v>
      </c>
      <c r="D24" s="281">
        <f t="shared" si="0"/>
        <v>62019</v>
      </c>
      <c r="E24" s="281">
        <v>74834</v>
      </c>
      <c r="F24" s="281">
        <v>18500</v>
      </c>
      <c r="G24" s="281">
        <f t="shared" si="1"/>
        <v>93334</v>
      </c>
      <c r="H24" s="281">
        <f t="shared" si="2"/>
        <v>121988</v>
      </c>
      <c r="I24" s="281">
        <f t="shared" si="3"/>
        <v>33365</v>
      </c>
      <c r="J24" s="281">
        <f t="shared" si="4"/>
        <v>155353</v>
      </c>
      <c r="K24" s="57"/>
      <c r="L24" s="63" t="s">
        <v>102</v>
      </c>
      <c r="M24" s="63" t="s">
        <v>102</v>
      </c>
      <c r="N24" s="79" t="s">
        <v>102</v>
      </c>
      <c r="O24" s="79" t="s">
        <v>102</v>
      </c>
      <c r="P24" s="79" t="s">
        <v>102</v>
      </c>
      <c r="Q24" s="79" t="s">
        <v>102</v>
      </c>
      <c r="R24" s="48"/>
      <c r="S24" s="48"/>
      <c r="T24" s="48"/>
      <c r="U24" s="48"/>
      <c r="V24" s="48"/>
      <c r="W24" s="48"/>
      <c r="X24" s="48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  <c r="IA24" s="49"/>
      <c r="IB24" s="49"/>
      <c r="IC24" s="49"/>
      <c r="ID24" s="49"/>
    </row>
    <row r="25" spans="1:238" ht="17.5" x14ac:dyDescent="0.45">
      <c r="A25" s="296" t="s">
        <v>111</v>
      </c>
      <c r="B25" s="281">
        <v>76220</v>
      </c>
      <c r="C25" s="281">
        <v>34574</v>
      </c>
      <c r="D25" s="281">
        <f t="shared" si="0"/>
        <v>110794</v>
      </c>
      <c r="E25" s="281">
        <v>89171</v>
      </c>
      <c r="F25" s="281">
        <v>37947</v>
      </c>
      <c r="G25" s="281">
        <f t="shared" si="1"/>
        <v>127118</v>
      </c>
      <c r="H25" s="281">
        <f t="shared" si="2"/>
        <v>165391</v>
      </c>
      <c r="I25" s="281">
        <f t="shared" si="3"/>
        <v>72521</v>
      </c>
      <c r="J25" s="281">
        <f t="shared" si="4"/>
        <v>237912</v>
      </c>
      <c r="K25" s="57"/>
      <c r="L25" s="63"/>
      <c r="M25" s="63"/>
      <c r="N25" s="79"/>
      <c r="O25" s="79"/>
      <c r="P25" s="79"/>
      <c r="Q25" s="79"/>
      <c r="R25" s="48"/>
      <c r="S25" s="48"/>
      <c r="T25" s="48"/>
      <c r="U25" s="48"/>
      <c r="V25" s="48"/>
      <c r="W25" s="48"/>
      <c r="X25" s="48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</row>
    <row r="26" spans="1:238" ht="17.5" x14ac:dyDescent="0.45">
      <c r="A26" s="296" t="s">
        <v>60</v>
      </c>
      <c r="B26" s="281">
        <v>51612</v>
      </c>
      <c r="C26" s="281">
        <v>64814</v>
      </c>
      <c r="D26" s="281">
        <f t="shared" si="0"/>
        <v>116426</v>
      </c>
      <c r="E26" s="281">
        <v>70571</v>
      </c>
      <c r="F26" s="281">
        <v>60789</v>
      </c>
      <c r="G26" s="281">
        <f t="shared" si="1"/>
        <v>131360</v>
      </c>
      <c r="H26" s="281">
        <f t="shared" si="2"/>
        <v>122183</v>
      </c>
      <c r="I26" s="281">
        <f t="shared" si="3"/>
        <v>125603</v>
      </c>
      <c r="J26" s="281">
        <f t="shared" si="4"/>
        <v>247786</v>
      </c>
      <c r="K26" s="57"/>
      <c r="L26" s="63" t="s">
        <v>102</v>
      </c>
      <c r="M26" s="63" t="s">
        <v>102</v>
      </c>
      <c r="N26" s="79" t="s">
        <v>102</v>
      </c>
      <c r="O26" s="79" t="s">
        <v>102</v>
      </c>
      <c r="P26" s="79" t="s">
        <v>102</v>
      </c>
      <c r="Q26" s="79" t="s">
        <v>102</v>
      </c>
      <c r="R26" s="48"/>
      <c r="S26" s="48"/>
      <c r="T26" s="48"/>
      <c r="U26" s="48"/>
      <c r="V26" s="48"/>
      <c r="W26" s="48"/>
      <c r="X26" s="48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</row>
    <row r="27" spans="1:238" ht="17.5" x14ac:dyDescent="0.45">
      <c r="A27" s="298" t="s">
        <v>61</v>
      </c>
      <c r="B27" s="281">
        <v>58953</v>
      </c>
      <c r="C27" s="281">
        <v>4800</v>
      </c>
      <c r="D27" s="281">
        <f t="shared" si="0"/>
        <v>63753</v>
      </c>
      <c r="E27" s="281">
        <v>104397</v>
      </c>
      <c r="F27" s="281">
        <v>16092</v>
      </c>
      <c r="G27" s="281">
        <f t="shared" si="1"/>
        <v>120489</v>
      </c>
      <c r="H27" s="281">
        <f t="shared" si="2"/>
        <v>163350</v>
      </c>
      <c r="I27" s="281">
        <f t="shared" si="3"/>
        <v>20892</v>
      </c>
      <c r="J27" s="281">
        <f t="shared" si="4"/>
        <v>184242</v>
      </c>
      <c r="K27" s="57"/>
      <c r="L27" s="63" t="s">
        <v>102</v>
      </c>
      <c r="M27" s="63" t="s">
        <v>102</v>
      </c>
      <c r="N27" s="79" t="s">
        <v>102</v>
      </c>
      <c r="O27" s="79" t="s">
        <v>102</v>
      </c>
      <c r="P27" s="79" t="s">
        <v>102</v>
      </c>
      <c r="Q27" s="79" t="s">
        <v>102</v>
      </c>
      <c r="R27" s="48"/>
      <c r="S27" s="48"/>
      <c r="T27" s="48"/>
      <c r="U27" s="48"/>
      <c r="V27" s="48"/>
      <c r="W27" s="48"/>
      <c r="X27" s="48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</row>
    <row r="28" spans="1:238" ht="17.5" x14ac:dyDescent="0.45">
      <c r="A28" s="298" t="s">
        <v>62</v>
      </c>
      <c r="B28" s="281">
        <v>55073</v>
      </c>
      <c r="C28" s="281">
        <v>14538</v>
      </c>
      <c r="D28" s="281">
        <f t="shared" si="0"/>
        <v>69611</v>
      </c>
      <c r="E28" s="281">
        <v>89142</v>
      </c>
      <c r="F28" s="281">
        <v>17012</v>
      </c>
      <c r="G28" s="281">
        <f t="shared" si="1"/>
        <v>106154</v>
      </c>
      <c r="H28" s="281">
        <f t="shared" si="2"/>
        <v>144215</v>
      </c>
      <c r="I28" s="281">
        <f t="shared" si="3"/>
        <v>31550</v>
      </c>
      <c r="J28" s="281">
        <f t="shared" si="4"/>
        <v>175765</v>
      </c>
      <c r="K28" s="57"/>
      <c r="L28" s="63" t="s">
        <v>102</v>
      </c>
      <c r="M28" s="63" t="s">
        <v>102</v>
      </c>
      <c r="N28" s="79" t="s">
        <v>102</v>
      </c>
      <c r="O28" s="79" t="s">
        <v>102</v>
      </c>
      <c r="P28" s="79" t="s">
        <v>102</v>
      </c>
      <c r="Q28" s="79" t="s">
        <v>102</v>
      </c>
      <c r="R28" s="48"/>
      <c r="S28" s="48"/>
      <c r="T28" s="48"/>
      <c r="U28" s="48"/>
      <c r="V28" s="48"/>
      <c r="W28" s="48"/>
      <c r="X28" s="48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  <c r="HX28" s="49"/>
      <c r="HY28" s="49"/>
      <c r="HZ28" s="49"/>
      <c r="IA28" s="49"/>
      <c r="IB28" s="49"/>
      <c r="IC28" s="49"/>
      <c r="ID28" s="49"/>
    </row>
    <row r="29" spans="1:238" ht="17.5" x14ac:dyDescent="0.45">
      <c r="A29" s="298" t="s">
        <v>63</v>
      </c>
      <c r="B29" s="281">
        <v>54511</v>
      </c>
      <c r="C29" s="281">
        <v>33812</v>
      </c>
      <c r="D29" s="281">
        <f t="shared" si="0"/>
        <v>88323</v>
      </c>
      <c r="E29" s="281">
        <v>69821</v>
      </c>
      <c r="F29" s="281">
        <v>44612</v>
      </c>
      <c r="G29" s="281">
        <f t="shared" si="1"/>
        <v>114433</v>
      </c>
      <c r="H29" s="281">
        <f t="shared" si="2"/>
        <v>124332</v>
      </c>
      <c r="I29" s="281">
        <f t="shared" si="3"/>
        <v>78424</v>
      </c>
      <c r="J29" s="281">
        <f t="shared" si="4"/>
        <v>202756</v>
      </c>
      <c r="K29" s="57"/>
      <c r="L29" s="63" t="s">
        <v>102</v>
      </c>
      <c r="M29" s="63" t="s">
        <v>102</v>
      </c>
      <c r="N29" s="79" t="s">
        <v>102</v>
      </c>
      <c r="O29" s="79" t="s">
        <v>102</v>
      </c>
      <c r="P29" s="79" t="s">
        <v>102</v>
      </c>
      <c r="Q29" s="79" t="s">
        <v>102</v>
      </c>
      <c r="R29" s="48"/>
      <c r="S29" s="48"/>
      <c r="T29" s="48"/>
      <c r="U29" s="48"/>
      <c r="V29" s="48"/>
      <c r="W29" s="48"/>
      <c r="X29" s="48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  <c r="IA29" s="49"/>
      <c r="IB29" s="49"/>
      <c r="IC29" s="49"/>
      <c r="ID29" s="49"/>
    </row>
    <row r="30" spans="1:238" ht="17.5" x14ac:dyDescent="0.45">
      <c r="A30" s="298" t="s">
        <v>64</v>
      </c>
      <c r="B30" s="281">
        <v>55000</v>
      </c>
      <c r="C30" s="281">
        <v>13991</v>
      </c>
      <c r="D30" s="281">
        <f t="shared" si="0"/>
        <v>68991</v>
      </c>
      <c r="E30" s="281">
        <v>103932</v>
      </c>
      <c r="F30" s="281">
        <v>14880</v>
      </c>
      <c r="G30" s="281">
        <f t="shared" si="1"/>
        <v>118812</v>
      </c>
      <c r="H30" s="281">
        <f t="shared" si="2"/>
        <v>158932</v>
      </c>
      <c r="I30" s="281">
        <f t="shared" si="3"/>
        <v>28871</v>
      </c>
      <c r="J30" s="281">
        <f t="shared" si="4"/>
        <v>187803</v>
      </c>
      <c r="K30" s="57"/>
      <c r="L30" s="63" t="s">
        <v>102</v>
      </c>
      <c r="M30" s="63" t="s">
        <v>102</v>
      </c>
      <c r="N30" s="79" t="s">
        <v>102</v>
      </c>
      <c r="O30" s="79" t="s">
        <v>102</v>
      </c>
      <c r="P30" s="79" t="s">
        <v>102</v>
      </c>
      <c r="Q30" s="79" t="s">
        <v>102</v>
      </c>
      <c r="R30" s="48"/>
      <c r="S30" s="48"/>
      <c r="T30" s="48"/>
      <c r="U30" s="48"/>
      <c r="V30" s="48"/>
      <c r="W30" s="48"/>
      <c r="X30" s="48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  <c r="IB30" s="49"/>
      <c r="IC30" s="49"/>
      <c r="ID30" s="49"/>
    </row>
    <row r="31" spans="1:238" ht="17.5" x14ac:dyDescent="0.45">
      <c r="A31" s="298" t="s">
        <v>65</v>
      </c>
      <c r="B31" s="281">
        <v>49731</v>
      </c>
      <c r="C31" s="281">
        <v>73057</v>
      </c>
      <c r="D31" s="281">
        <f t="shared" si="0"/>
        <v>122788</v>
      </c>
      <c r="E31" s="281">
        <v>38955</v>
      </c>
      <c r="F31" s="281">
        <v>24318</v>
      </c>
      <c r="G31" s="281">
        <f t="shared" si="1"/>
        <v>63273</v>
      </c>
      <c r="H31" s="281">
        <f t="shared" si="2"/>
        <v>88686</v>
      </c>
      <c r="I31" s="281">
        <f t="shared" si="3"/>
        <v>97375</v>
      </c>
      <c r="J31" s="281">
        <f t="shared" si="4"/>
        <v>186061</v>
      </c>
      <c r="K31" s="57"/>
      <c r="L31" s="63" t="s">
        <v>102</v>
      </c>
      <c r="M31" s="63" t="s">
        <v>102</v>
      </c>
      <c r="N31" s="79" t="s">
        <v>102</v>
      </c>
      <c r="O31" s="79" t="s">
        <v>102</v>
      </c>
      <c r="P31" s="79" t="s">
        <v>102</v>
      </c>
      <c r="Q31" s="79" t="s">
        <v>102</v>
      </c>
      <c r="R31" s="48"/>
      <c r="S31" s="48"/>
      <c r="T31" s="48"/>
      <c r="U31" s="48"/>
      <c r="V31" s="48"/>
      <c r="W31" s="48"/>
      <c r="X31" s="48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  <c r="IA31" s="49"/>
      <c r="IB31" s="49"/>
      <c r="IC31" s="49"/>
      <c r="ID31" s="49"/>
    </row>
    <row r="32" spans="1:238" ht="17.5" x14ac:dyDescent="0.45">
      <c r="A32" s="298" t="s">
        <v>66</v>
      </c>
      <c r="B32" s="281">
        <v>45211</v>
      </c>
      <c r="C32" s="281">
        <v>61481</v>
      </c>
      <c r="D32" s="281">
        <f t="shared" si="0"/>
        <v>106692</v>
      </c>
      <c r="E32" s="281">
        <v>35788</v>
      </c>
      <c r="F32" s="281">
        <v>19937</v>
      </c>
      <c r="G32" s="281">
        <f t="shared" si="1"/>
        <v>55725</v>
      </c>
      <c r="H32" s="281">
        <f t="shared" si="2"/>
        <v>80999</v>
      </c>
      <c r="I32" s="281">
        <f t="shared" si="3"/>
        <v>81418</v>
      </c>
      <c r="J32" s="281">
        <f t="shared" si="4"/>
        <v>162417</v>
      </c>
      <c r="K32" s="57"/>
      <c r="L32" s="63" t="s">
        <v>102</v>
      </c>
      <c r="M32" s="63" t="s">
        <v>102</v>
      </c>
      <c r="N32" s="79" t="s">
        <v>102</v>
      </c>
      <c r="O32" s="79" t="s">
        <v>102</v>
      </c>
      <c r="P32" s="79" t="s">
        <v>102</v>
      </c>
      <c r="Q32" s="79" t="s">
        <v>102</v>
      </c>
      <c r="R32" s="48"/>
      <c r="S32" s="48"/>
      <c r="T32" s="48"/>
      <c r="U32" s="48"/>
      <c r="V32" s="48"/>
      <c r="W32" s="48"/>
      <c r="X32" s="48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  <c r="HX32" s="49"/>
      <c r="HY32" s="49"/>
      <c r="HZ32" s="49"/>
      <c r="IA32" s="49"/>
      <c r="IB32" s="49"/>
      <c r="IC32" s="49"/>
      <c r="ID32" s="49"/>
    </row>
    <row r="33" spans="1:238" ht="17.5" x14ac:dyDescent="0.45">
      <c r="A33" s="296" t="s">
        <v>67</v>
      </c>
      <c r="B33" s="281">
        <v>50514</v>
      </c>
      <c r="C33" s="283">
        <v>0</v>
      </c>
      <c r="D33" s="281">
        <f t="shared" si="0"/>
        <v>50514</v>
      </c>
      <c r="E33" s="281">
        <v>115033</v>
      </c>
      <c r="F33" s="283">
        <v>0</v>
      </c>
      <c r="G33" s="281">
        <f t="shared" si="1"/>
        <v>115033</v>
      </c>
      <c r="H33" s="281">
        <f t="shared" si="2"/>
        <v>165547</v>
      </c>
      <c r="I33" s="281">
        <f t="shared" si="3"/>
        <v>0</v>
      </c>
      <c r="J33" s="281">
        <f t="shared" si="4"/>
        <v>165547</v>
      </c>
      <c r="K33" s="57"/>
      <c r="L33" s="63" t="s">
        <v>102</v>
      </c>
      <c r="M33" s="63" t="s">
        <v>102</v>
      </c>
      <c r="N33" s="79" t="s">
        <v>102</v>
      </c>
      <c r="O33" s="79" t="s">
        <v>102</v>
      </c>
      <c r="P33" s="79" t="s">
        <v>102</v>
      </c>
      <c r="Q33" s="79" t="s">
        <v>102</v>
      </c>
      <c r="R33" s="48"/>
      <c r="S33" s="48"/>
      <c r="T33" s="48"/>
      <c r="U33" s="48"/>
      <c r="V33" s="48"/>
      <c r="W33" s="48"/>
      <c r="X33" s="48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  <c r="IA33" s="49"/>
      <c r="IB33" s="49"/>
      <c r="IC33" s="49"/>
      <c r="ID33" s="49"/>
    </row>
    <row r="34" spans="1:238" ht="17.5" x14ac:dyDescent="0.45">
      <c r="A34" s="296" t="s">
        <v>68</v>
      </c>
      <c r="B34" s="281">
        <v>55159</v>
      </c>
      <c r="C34" s="281">
        <v>8000</v>
      </c>
      <c r="D34" s="281">
        <f t="shared" si="0"/>
        <v>63159</v>
      </c>
      <c r="E34" s="281">
        <v>85282</v>
      </c>
      <c r="F34" s="281">
        <v>9300</v>
      </c>
      <c r="G34" s="281">
        <f t="shared" si="1"/>
        <v>94582</v>
      </c>
      <c r="H34" s="281">
        <f t="shared" si="2"/>
        <v>140441</v>
      </c>
      <c r="I34" s="281">
        <f t="shared" si="3"/>
        <v>17300</v>
      </c>
      <c r="J34" s="281">
        <f t="shared" si="4"/>
        <v>157741</v>
      </c>
      <c r="K34" s="57"/>
      <c r="L34" s="63" t="s">
        <v>102</v>
      </c>
      <c r="M34" s="63" t="s">
        <v>102</v>
      </c>
      <c r="N34" s="79" t="s">
        <v>102</v>
      </c>
      <c r="O34" s="79" t="s">
        <v>102</v>
      </c>
      <c r="P34" s="79" t="s">
        <v>102</v>
      </c>
      <c r="Q34" s="79" t="s">
        <v>102</v>
      </c>
      <c r="R34" s="48"/>
      <c r="S34" s="48"/>
      <c r="T34" s="48"/>
      <c r="U34" s="48"/>
      <c r="V34" s="48"/>
      <c r="W34" s="48"/>
      <c r="X34" s="48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  <c r="ID34" s="49"/>
    </row>
    <row r="35" spans="1:238" ht="17.5" x14ac:dyDescent="0.45">
      <c r="A35" s="296" t="s">
        <v>69</v>
      </c>
      <c r="B35" s="281">
        <v>55135</v>
      </c>
      <c r="C35" s="281">
        <v>39990</v>
      </c>
      <c r="D35" s="281">
        <f t="shared" si="0"/>
        <v>95125</v>
      </c>
      <c r="E35" s="281">
        <v>72794</v>
      </c>
      <c r="F35" s="281">
        <v>33461</v>
      </c>
      <c r="G35" s="281">
        <f t="shared" si="1"/>
        <v>106255</v>
      </c>
      <c r="H35" s="281">
        <f t="shared" si="2"/>
        <v>127929</v>
      </c>
      <c r="I35" s="281">
        <f t="shared" si="3"/>
        <v>73451</v>
      </c>
      <c r="J35" s="281">
        <f t="shared" si="4"/>
        <v>201380</v>
      </c>
      <c r="K35" s="57"/>
      <c r="L35" s="63" t="s">
        <v>102</v>
      </c>
      <c r="M35" s="63" t="s">
        <v>102</v>
      </c>
      <c r="N35" s="79" t="s">
        <v>102</v>
      </c>
      <c r="O35" s="79" t="s">
        <v>102</v>
      </c>
      <c r="P35" s="79" t="s">
        <v>102</v>
      </c>
      <c r="Q35" s="79" t="s">
        <v>102</v>
      </c>
      <c r="R35" s="48"/>
      <c r="S35" s="48"/>
      <c r="T35" s="48"/>
      <c r="U35" s="48"/>
      <c r="V35" s="48"/>
      <c r="W35" s="48"/>
      <c r="X35" s="48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  <c r="IB35" s="49"/>
      <c r="IC35" s="49"/>
      <c r="ID35" s="49"/>
    </row>
    <row r="36" spans="1:238" ht="17.5" x14ac:dyDescent="0.45">
      <c r="A36" s="298" t="s">
        <v>70</v>
      </c>
      <c r="B36" s="281">
        <v>42899</v>
      </c>
      <c r="C36" s="281">
        <v>98674</v>
      </c>
      <c r="D36" s="281">
        <f t="shared" si="0"/>
        <v>141573</v>
      </c>
      <c r="E36" s="281">
        <v>78616</v>
      </c>
      <c r="F36" s="281">
        <v>92501</v>
      </c>
      <c r="G36" s="281">
        <f t="shared" si="1"/>
        <v>171117</v>
      </c>
      <c r="H36" s="281">
        <v>121515</v>
      </c>
      <c r="I36" s="281">
        <v>191175</v>
      </c>
      <c r="J36" s="281">
        <f t="shared" si="4"/>
        <v>312690</v>
      </c>
      <c r="K36" s="57"/>
      <c r="L36" s="63" t="s">
        <v>102</v>
      </c>
      <c r="M36" s="63" t="s">
        <v>102</v>
      </c>
      <c r="N36" s="79" t="s">
        <v>102</v>
      </c>
      <c r="O36" s="79" t="s">
        <v>102</v>
      </c>
      <c r="P36" s="79" t="s">
        <v>102</v>
      </c>
      <c r="Q36" s="79" t="s">
        <v>102</v>
      </c>
      <c r="R36" s="48"/>
      <c r="S36" s="48"/>
      <c r="T36" s="48"/>
      <c r="U36" s="48"/>
      <c r="V36" s="48"/>
      <c r="W36" s="48"/>
      <c r="X36" s="48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  <c r="IA36" s="49"/>
      <c r="IB36" s="49"/>
      <c r="IC36" s="49"/>
      <c r="ID36" s="49"/>
    </row>
    <row r="37" spans="1:238" ht="17.5" x14ac:dyDescent="0.45">
      <c r="A37" s="296" t="s">
        <v>71</v>
      </c>
      <c r="B37" s="281">
        <v>43251</v>
      </c>
      <c r="C37" s="281">
        <v>38547</v>
      </c>
      <c r="D37" s="281">
        <f t="shared" si="0"/>
        <v>81798</v>
      </c>
      <c r="E37" s="281">
        <v>40579</v>
      </c>
      <c r="F37" s="281">
        <v>56434</v>
      </c>
      <c r="G37" s="281">
        <f t="shared" si="1"/>
        <v>97013</v>
      </c>
      <c r="H37" s="281">
        <f>B37+E37</f>
        <v>83830</v>
      </c>
      <c r="I37" s="281">
        <f>C37+F37</f>
        <v>94981</v>
      </c>
      <c r="J37" s="281">
        <f t="shared" si="4"/>
        <v>178811</v>
      </c>
      <c r="K37" s="57"/>
      <c r="L37" s="63" t="s">
        <v>102</v>
      </c>
      <c r="M37" s="63" t="s">
        <v>102</v>
      </c>
      <c r="N37" s="79" t="s">
        <v>102</v>
      </c>
      <c r="O37" s="79" t="s">
        <v>102</v>
      </c>
      <c r="P37" s="79" t="s">
        <v>102</v>
      </c>
      <c r="Q37" s="79" t="s">
        <v>102</v>
      </c>
      <c r="R37" s="48"/>
      <c r="S37" s="48"/>
      <c r="T37" s="48"/>
      <c r="U37" s="48"/>
      <c r="V37" s="48"/>
      <c r="W37" s="48"/>
      <c r="X37" s="48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  <c r="IB37" s="49"/>
      <c r="IC37" s="49"/>
      <c r="ID37" s="49"/>
    </row>
    <row r="38" spans="1:238" ht="17.5" x14ac:dyDescent="0.45">
      <c r="A38" s="296" t="s">
        <v>72</v>
      </c>
      <c r="B38" s="281">
        <v>52185</v>
      </c>
      <c r="C38" s="281">
        <v>3209</v>
      </c>
      <c r="D38" s="281">
        <f t="shared" si="0"/>
        <v>55394</v>
      </c>
      <c r="E38" s="281">
        <v>95509</v>
      </c>
      <c r="F38" s="281">
        <v>229</v>
      </c>
      <c r="G38" s="281">
        <f t="shared" si="1"/>
        <v>95738</v>
      </c>
      <c r="H38" s="281">
        <v>147694</v>
      </c>
      <c r="I38" s="281">
        <v>3438</v>
      </c>
      <c r="J38" s="281">
        <f t="shared" si="4"/>
        <v>151132</v>
      </c>
      <c r="K38" s="57"/>
      <c r="L38" s="63" t="s">
        <v>102</v>
      </c>
      <c r="M38" s="63" t="s">
        <v>102</v>
      </c>
      <c r="N38" s="79" t="s">
        <v>102</v>
      </c>
      <c r="O38" s="79" t="s">
        <v>102</v>
      </c>
      <c r="P38" s="79" t="s">
        <v>102</v>
      </c>
      <c r="Q38" s="79" t="s">
        <v>102</v>
      </c>
      <c r="R38" s="48"/>
      <c r="S38" s="48"/>
      <c r="T38" s="48"/>
      <c r="U38" s="48"/>
      <c r="V38" s="48"/>
      <c r="W38" s="48"/>
      <c r="X38" s="48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</row>
    <row r="39" spans="1:238" ht="17.5" x14ac:dyDescent="0.45">
      <c r="A39" s="296" t="s">
        <v>73</v>
      </c>
      <c r="B39" s="281">
        <v>37184</v>
      </c>
      <c r="C39" s="283">
        <v>0</v>
      </c>
      <c r="D39" s="281">
        <f t="shared" ref="D39:D56" si="5">SUM(B39:C39)</f>
        <v>37184</v>
      </c>
      <c r="E39" s="281">
        <v>43059</v>
      </c>
      <c r="F39" s="283">
        <v>0</v>
      </c>
      <c r="G39" s="281">
        <f t="shared" ref="G39:G56" si="6">SUM(E39:F39)</f>
        <v>43059</v>
      </c>
      <c r="H39" s="281">
        <v>80243</v>
      </c>
      <c r="I39" s="283">
        <v>0</v>
      </c>
      <c r="J39" s="281">
        <f t="shared" ref="J39:J56" si="7">SUM(H39:I39)</f>
        <v>80243</v>
      </c>
      <c r="K39" s="57"/>
      <c r="L39" s="63" t="s">
        <v>102</v>
      </c>
      <c r="M39" s="63" t="s">
        <v>102</v>
      </c>
      <c r="N39" s="79" t="s">
        <v>102</v>
      </c>
      <c r="O39" s="79" t="s">
        <v>102</v>
      </c>
      <c r="P39" s="79" t="s">
        <v>102</v>
      </c>
      <c r="Q39" s="79" t="s">
        <v>102</v>
      </c>
      <c r="R39" s="48"/>
      <c r="S39" s="48"/>
      <c r="T39" s="48"/>
      <c r="U39" s="48"/>
      <c r="V39" s="48"/>
      <c r="W39" s="48"/>
      <c r="X39" s="48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  <c r="IB39" s="49"/>
      <c r="IC39" s="49"/>
      <c r="ID39" s="49"/>
    </row>
    <row r="40" spans="1:238" ht="17.5" x14ac:dyDescent="0.45">
      <c r="A40" s="296" t="s">
        <v>74</v>
      </c>
      <c r="B40" s="281">
        <v>2076</v>
      </c>
      <c r="C40" s="283">
        <v>0</v>
      </c>
      <c r="D40" s="281">
        <f t="shared" si="5"/>
        <v>2076</v>
      </c>
      <c r="E40" s="281">
        <v>14758</v>
      </c>
      <c r="F40" s="283">
        <v>0</v>
      </c>
      <c r="G40" s="281">
        <f t="shared" si="6"/>
        <v>14758</v>
      </c>
      <c r="H40" s="281">
        <f t="shared" ref="H40:H56" si="8">B40+E40</f>
        <v>16834</v>
      </c>
      <c r="I40" s="283">
        <f t="shared" ref="I40:I56" si="9">C40+F40</f>
        <v>0</v>
      </c>
      <c r="J40" s="281">
        <f t="shared" si="7"/>
        <v>16834</v>
      </c>
      <c r="K40" s="57"/>
      <c r="L40" s="63" t="s">
        <v>102</v>
      </c>
      <c r="M40" s="63" t="s">
        <v>102</v>
      </c>
      <c r="N40" s="79" t="s">
        <v>102</v>
      </c>
      <c r="O40" s="79" t="s">
        <v>102</v>
      </c>
      <c r="P40" s="79" t="s">
        <v>102</v>
      </c>
      <c r="Q40" s="79" t="s">
        <v>102</v>
      </c>
      <c r="R40" s="48"/>
      <c r="S40" s="48"/>
      <c r="T40" s="48"/>
      <c r="U40" s="48"/>
      <c r="V40" s="48"/>
      <c r="W40" s="48"/>
      <c r="X40" s="48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  <c r="IA40" s="49"/>
      <c r="IB40" s="49"/>
      <c r="IC40" s="49"/>
      <c r="ID40" s="49"/>
    </row>
    <row r="41" spans="1:238" ht="17.5" x14ac:dyDescent="0.45">
      <c r="A41" s="296" t="s">
        <v>75</v>
      </c>
      <c r="B41" s="283">
        <v>0</v>
      </c>
      <c r="C41" s="283">
        <v>0</v>
      </c>
      <c r="D41" s="283">
        <f t="shared" si="5"/>
        <v>0</v>
      </c>
      <c r="E41" s="281">
        <v>1509</v>
      </c>
      <c r="F41" s="283">
        <v>0</v>
      </c>
      <c r="G41" s="281">
        <f t="shared" si="6"/>
        <v>1509</v>
      </c>
      <c r="H41" s="281">
        <f t="shared" si="8"/>
        <v>1509</v>
      </c>
      <c r="I41" s="283">
        <f t="shared" si="9"/>
        <v>0</v>
      </c>
      <c r="J41" s="281">
        <f t="shared" si="7"/>
        <v>1509</v>
      </c>
      <c r="K41" s="57"/>
      <c r="L41" s="63" t="s">
        <v>102</v>
      </c>
      <c r="M41" s="63" t="s">
        <v>102</v>
      </c>
      <c r="N41" s="79" t="s">
        <v>102</v>
      </c>
      <c r="O41" s="79" t="s">
        <v>102</v>
      </c>
      <c r="P41" s="79" t="s">
        <v>102</v>
      </c>
      <c r="Q41" s="79" t="s">
        <v>102</v>
      </c>
      <c r="R41" s="48"/>
      <c r="S41" s="48"/>
      <c r="T41" s="48"/>
      <c r="U41" s="48"/>
      <c r="V41" s="48"/>
      <c r="W41" s="48"/>
      <c r="X41" s="48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</row>
    <row r="42" spans="1:238" ht="17.5" x14ac:dyDescent="0.45">
      <c r="A42" s="296" t="s">
        <v>76</v>
      </c>
      <c r="B42" s="281">
        <v>44010</v>
      </c>
      <c r="C42" s="281">
        <v>11417</v>
      </c>
      <c r="D42" s="281">
        <f t="shared" si="5"/>
        <v>55427</v>
      </c>
      <c r="E42" s="281">
        <v>63750</v>
      </c>
      <c r="F42" s="281">
        <v>13272</v>
      </c>
      <c r="G42" s="281">
        <f t="shared" si="6"/>
        <v>77022</v>
      </c>
      <c r="H42" s="281">
        <f t="shared" si="8"/>
        <v>107760</v>
      </c>
      <c r="I42" s="281">
        <f t="shared" si="9"/>
        <v>24689</v>
      </c>
      <c r="J42" s="281">
        <f t="shared" si="7"/>
        <v>132449</v>
      </c>
      <c r="K42" s="57"/>
      <c r="L42" s="63" t="s">
        <v>102</v>
      </c>
      <c r="M42" s="63" t="s">
        <v>102</v>
      </c>
      <c r="N42" s="79" t="s">
        <v>102</v>
      </c>
      <c r="O42" s="79" t="s">
        <v>102</v>
      </c>
      <c r="P42" s="79" t="s">
        <v>102</v>
      </c>
      <c r="Q42" s="79" t="s">
        <v>102</v>
      </c>
      <c r="R42" s="48"/>
      <c r="S42" s="48"/>
      <c r="T42" s="48"/>
      <c r="U42" s="48"/>
      <c r="V42" s="48"/>
      <c r="W42" s="48"/>
      <c r="X42" s="48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  <c r="IA42" s="49"/>
      <c r="IB42" s="49"/>
      <c r="IC42" s="49"/>
      <c r="ID42" s="49"/>
    </row>
    <row r="43" spans="1:238" ht="17.5" x14ac:dyDescent="0.45">
      <c r="A43" s="296" t="s">
        <v>77</v>
      </c>
      <c r="B43" s="281">
        <v>46792</v>
      </c>
      <c r="C43" s="281">
        <v>30347</v>
      </c>
      <c r="D43" s="281">
        <f t="shared" si="5"/>
        <v>77139</v>
      </c>
      <c r="E43" s="281">
        <v>56992</v>
      </c>
      <c r="F43" s="281">
        <v>18072</v>
      </c>
      <c r="G43" s="281">
        <f t="shared" si="6"/>
        <v>75064</v>
      </c>
      <c r="H43" s="281">
        <f t="shared" si="8"/>
        <v>103784</v>
      </c>
      <c r="I43" s="281">
        <f t="shared" si="9"/>
        <v>48419</v>
      </c>
      <c r="J43" s="281">
        <f t="shared" si="7"/>
        <v>152203</v>
      </c>
      <c r="K43" s="57"/>
      <c r="L43" s="63" t="s">
        <v>102</v>
      </c>
      <c r="M43" s="63" t="s">
        <v>102</v>
      </c>
      <c r="N43" s="79" t="s">
        <v>102</v>
      </c>
      <c r="O43" s="79" t="s">
        <v>102</v>
      </c>
      <c r="P43" s="79" t="s">
        <v>102</v>
      </c>
      <c r="Q43" s="79" t="s">
        <v>102</v>
      </c>
      <c r="R43" s="48"/>
      <c r="S43" s="48"/>
      <c r="T43" s="48"/>
      <c r="U43" s="48"/>
      <c r="V43" s="48"/>
      <c r="W43" s="48"/>
      <c r="X43" s="48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  <c r="IB43" s="49"/>
      <c r="IC43" s="49"/>
      <c r="ID43" s="49"/>
    </row>
    <row r="44" spans="1:238" ht="17.5" x14ac:dyDescent="0.45">
      <c r="A44" s="296" t="s">
        <v>78</v>
      </c>
      <c r="B44" s="281">
        <v>56705</v>
      </c>
      <c r="C44" s="281">
        <v>14820</v>
      </c>
      <c r="D44" s="281">
        <f t="shared" si="5"/>
        <v>71525</v>
      </c>
      <c r="E44" s="281">
        <v>99896</v>
      </c>
      <c r="F44" s="281">
        <v>24501</v>
      </c>
      <c r="G44" s="281">
        <f t="shared" si="6"/>
        <v>124397</v>
      </c>
      <c r="H44" s="281">
        <f t="shared" si="8"/>
        <v>156601</v>
      </c>
      <c r="I44" s="281">
        <f t="shared" si="9"/>
        <v>39321</v>
      </c>
      <c r="J44" s="281">
        <f t="shared" si="7"/>
        <v>195922</v>
      </c>
      <c r="K44" s="57"/>
      <c r="L44" s="63" t="s">
        <v>102</v>
      </c>
      <c r="M44" s="63" t="s">
        <v>102</v>
      </c>
      <c r="N44" s="79" t="s">
        <v>102</v>
      </c>
      <c r="O44" s="79" t="s">
        <v>102</v>
      </c>
      <c r="P44" s="79" t="s">
        <v>102</v>
      </c>
      <c r="Q44" s="79" t="s">
        <v>102</v>
      </c>
      <c r="R44" s="48"/>
      <c r="S44" s="48"/>
      <c r="T44" s="48"/>
      <c r="U44" s="48"/>
      <c r="V44" s="48"/>
      <c r="W44" s="48"/>
      <c r="X44" s="48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  <c r="HX44" s="49"/>
      <c r="HY44" s="49"/>
      <c r="HZ44" s="49"/>
      <c r="IA44" s="49"/>
      <c r="IB44" s="49"/>
      <c r="IC44" s="49"/>
      <c r="ID44" s="49"/>
    </row>
    <row r="45" spans="1:238" ht="17.5" x14ac:dyDescent="0.45">
      <c r="A45" s="296" t="s">
        <v>79</v>
      </c>
      <c r="B45" s="281">
        <v>43666</v>
      </c>
      <c r="C45" s="281">
        <v>66174</v>
      </c>
      <c r="D45" s="281">
        <f t="shared" si="5"/>
        <v>109840</v>
      </c>
      <c r="E45" s="281">
        <v>62168</v>
      </c>
      <c r="F45" s="281">
        <v>38116</v>
      </c>
      <c r="G45" s="281">
        <f t="shared" si="6"/>
        <v>100284</v>
      </c>
      <c r="H45" s="281">
        <f t="shared" si="8"/>
        <v>105834</v>
      </c>
      <c r="I45" s="281">
        <f t="shared" si="9"/>
        <v>104290</v>
      </c>
      <c r="J45" s="281">
        <f t="shared" si="7"/>
        <v>210124</v>
      </c>
      <c r="K45" s="57"/>
      <c r="L45" s="63" t="s">
        <v>102</v>
      </c>
      <c r="M45" s="63" t="s">
        <v>102</v>
      </c>
      <c r="N45" s="79" t="s">
        <v>102</v>
      </c>
      <c r="O45" s="79" t="s">
        <v>102</v>
      </c>
      <c r="P45" s="79" t="s">
        <v>102</v>
      </c>
      <c r="Q45" s="79" t="s">
        <v>102</v>
      </c>
      <c r="R45" s="48"/>
      <c r="S45" s="48"/>
      <c r="T45" s="48"/>
      <c r="U45" s="48"/>
      <c r="V45" s="48"/>
      <c r="W45" s="48"/>
      <c r="X45" s="48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  <c r="IA45" s="49"/>
      <c r="IB45" s="49"/>
      <c r="IC45" s="49"/>
      <c r="ID45" s="49"/>
    </row>
    <row r="46" spans="1:238" ht="17.5" x14ac:dyDescent="0.45">
      <c r="A46" s="296" t="s">
        <v>80</v>
      </c>
      <c r="B46" s="281">
        <v>49310</v>
      </c>
      <c r="C46" s="281">
        <v>2405</v>
      </c>
      <c r="D46" s="281">
        <f t="shared" si="5"/>
        <v>51715</v>
      </c>
      <c r="E46" s="281">
        <v>84878</v>
      </c>
      <c r="F46" s="281">
        <v>1406</v>
      </c>
      <c r="G46" s="281">
        <f t="shared" si="6"/>
        <v>86284</v>
      </c>
      <c r="H46" s="281">
        <f t="shared" si="8"/>
        <v>134188</v>
      </c>
      <c r="I46" s="281">
        <f t="shared" si="9"/>
        <v>3811</v>
      </c>
      <c r="J46" s="281">
        <f t="shared" si="7"/>
        <v>137999</v>
      </c>
      <c r="K46" s="57"/>
      <c r="L46" s="63" t="s">
        <v>102</v>
      </c>
      <c r="M46" s="63" t="s">
        <v>102</v>
      </c>
      <c r="N46" s="79" t="s">
        <v>102</v>
      </c>
      <c r="O46" s="79" t="s">
        <v>102</v>
      </c>
      <c r="P46" s="79" t="s">
        <v>102</v>
      </c>
      <c r="Q46" s="79" t="s">
        <v>102</v>
      </c>
      <c r="R46" s="48"/>
      <c r="S46" s="48"/>
      <c r="T46" s="48"/>
      <c r="U46" s="48"/>
      <c r="V46" s="48"/>
      <c r="W46" s="48"/>
      <c r="X46" s="48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  <c r="ID46" s="49"/>
    </row>
    <row r="47" spans="1:238" ht="17.5" x14ac:dyDescent="0.45">
      <c r="A47" s="296" t="s">
        <v>81</v>
      </c>
      <c r="B47" s="281">
        <f>[1]ActualDeliveries!E$136</f>
        <v>10398</v>
      </c>
      <c r="C47" s="281">
        <f>[1]ActualDeliveries!E$142</f>
        <v>0</v>
      </c>
      <c r="D47" s="281">
        <f t="shared" si="5"/>
        <v>10398</v>
      </c>
      <c r="E47" s="281">
        <f>[1]ActualDeliveries!E$137</f>
        <v>21876</v>
      </c>
      <c r="F47" s="281">
        <f>[1]ActualDeliveries!E$143</f>
        <v>0</v>
      </c>
      <c r="G47" s="281">
        <f t="shared" si="6"/>
        <v>21876</v>
      </c>
      <c r="H47" s="281">
        <f t="shared" si="8"/>
        <v>32274</v>
      </c>
      <c r="I47" s="281">
        <f t="shared" si="9"/>
        <v>0</v>
      </c>
      <c r="J47" s="281">
        <f t="shared" si="7"/>
        <v>32274</v>
      </c>
      <c r="K47" s="57"/>
      <c r="L47" s="63" t="s">
        <v>102</v>
      </c>
      <c r="M47" s="63" t="s">
        <v>102</v>
      </c>
      <c r="N47" s="79" t="s">
        <v>102</v>
      </c>
      <c r="O47" s="79" t="s">
        <v>102</v>
      </c>
      <c r="P47" s="79" t="s">
        <v>102</v>
      </c>
      <c r="Q47" s="79" t="s">
        <v>102</v>
      </c>
      <c r="R47" s="48"/>
      <c r="S47" s="48"/>
      <c r="T47" s="48"/>
      <c r="U47" s="48"/>
      <c r="V47" s="48"/>
      <c r="W47" s="48"/>
      <c r="X47" s="48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  <c r="HX47" s="49"/>
      <c r="HY47" s="49"/>
      <c r="HZ47" s="49"/>
      <c r="IA47" s="49"/>
      <c r="IB47" s="49"/>
      <c r="IC47" s="49"/>
      <c r="ID47" s="49"/>
    </row>
    <row r="48" spans="1:238" ht="17.5" x14ac:dyDescent="0.45">
      <c r="A48" s="296" t="s">
        <v>82</v>
      </c>
      <c r="B48" s="281">
        <f t="shared" ref="B48:B55" si="10">$B$58</f>
        <v>35840.142857142855</v>
      </c>
      <c r="C48" s="281">
        <f t="shared" ref="C48:C55" si="11">$C$58</f>
        <v>17880.428571428572</v>
      </c>
      <c r="D48" s="281">
        <f t="shared" si="5"/>
        <v>53720.571428571428</v>
      </c>
      <c r="E48" s="281">
        <f t="shared" ref="E48:E55" si="12">$E$58</f>
        <v>55867</v>
      </c>
      <c r="F48" s="281">
        <f t="shared" ref="F48:F55" si="13">$F$58</f>
        <v>13623.857142857143</v>
      </c>
      <c r="G48" s="281">
        <f t="shared" si="6"/>
        <v>69490.857142857145</v>
      </c>
      <c r="H48" s="281">
        <f t="shared" si="8"/>
        <v>91707.142857142855</v>
      </c>
      <c r="I48" s="281">
        <f t="shared" si="9"/>
        <v>31504.285714285717</v>
      </c>
      <c r="J48" s="281">
        <f t="shared" si="7"/>
        <v>123211.42857142858</v>
      </c>
      <c r="K48" s="57"/>
      <c r="L48" s="63" t="s">
        <v>102</v>
      </c>
      <c r="M48" s="63" t="s">
        <v>102</v>
      </c>
      <c r="N48" s="79" t="s">
        <v>102</v>
      </c>
      <c r="O48" s="79" t="s">
        <v>102</v>
      </c>
      <c r="P48" s="79" t="s">
        <v>102</v>
      </c>
      <c r="Q48" s="79" t="s">
        <v>102</v>
      </c>
      <c r="R48" s="48"/>
      <c r="S48" s="48"/>
      <c r="T48" s="48"/>
      <c r="U48" s="48"/>
      <c r="V48" s="48"/>
      <c r="W48" s="48"/>
      <c r="X48" s="48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  <c r="HX48" s="49"/>
      <c r="HY48" s="49"/>
      <c r="HZ48" s="49"/>
      <c r="IA48" s="49"/>
      <c r="IB48" s="49"/>
      <c r="IC48" s="49"/>
      <c r="ID48" s="49"/>
    </row>
    <row r="49" spans="1:238" ht="17.5" x14ac:dyDescent="0.45">
      <c r="A49" s="296" t="s">
        <v>83</v>
      </c>
      <c r="B49" s="281">
        <f t="shared" si="10"/>
        <v>35840.142857142855</v>
      </c>
      <c r="C49" s="281">
        <f t="shared" si="11"/>
        <v>17880.428571428572</v>
      </c>
      <c r="D49" s="281">
        <f t="shared" si="5"/>
        <v>53720.571428571428</v>
      </c>
      <c r="E49" s="281">
        <f t="shared" si="12"/>
        <v>55867</v>
      </c>
      <c r="F49" s="281">
        <f t="shared" si="13"/>
        <v>13623.857142857143</v>
      </c>
      <c r="G49" s="281">
        <f t="shared" si="6"/>
        <v>69490.857142857145</v>
      </c>
      <c r="H49" s="281">
        <f t="shared" si="8"/>
        <v>91707.142857142855</v>
      </c>
      <c r="I49" s="281">
        <f t="shared" si="9"/>
        <v>31504.285714285717</v>
      </c>
      <c r="J49" s="281">
        <f t="shared" si="7"/>
        <v>123211.42857142858</v>
      </c>
      <c r="K49" s="57"/>
      <c r="L49" s="63" t="s">
        <v>102</v>
      </c>
      <c r="M49" s="63" t="s">
        <v>102</v>
      </c>
      <c r="N49" s="79" t="s">
        <v>102</v>
      </c>
      <c r="O49" s="79" t="s">
        <v>102</v>
      </c>
      <c r="P49" s="79" t="s">
        <v>102</v>
      </c>
      <c r="Q49" s="79" t="s">
        <v>102</v>
      </c>
      <c r="R49" s="48"/>
      <c r="S49" s="48"/>
      <c r="T49" s="48"/>
      <c r="U49" s="48"/>
      <c r="V49" s="48"/>
      <c r="W49" s="48"/>
      <c r="X49" s="48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  <c r="IA49" s="49"/>
      <c r="IB49" s="49"/>
      <c r="IC49" s="49"/>
      <c r="ID49" s="49"/>
    </row>
    <row r="50" spans="1:238" ht="17.5" x14ac:dyDescent="0.45">
      <c r="A50" s="296" t="s">
        <v>84</v>
      </c>
      <c r="B50" s="281">
        <f t="shared" si="10"/>
        <v>35840.142857142855</v>
      </c>
      <c r="C50" s="281">
        <f t="shared" si="11"/>
        <v>17880.428571428572</v>
      </c>
      <c r="D50" s="281">
        <f t="shared" si="5"/>
        <v>53720.571428571428</v>
      </c>
      <c r="E50" s="281">
        <f t="shared" si="12"/>
        <v>55867</v>
      </c>
      <c r="F50" s="281">
        <f t="shared" si="13"/>
        <v>13623.857142857143</v>
      </c>
      <c r="G50" s="281">
        <f t="shared" si="6"/>
        <v>69490.857142857145</v>
      </c>
      <c r="H50" s="281">
        <f t="shared" si="8"/>
        <v>91707.142857142855</v>
      </c>
      <c r="I50" s="281">
        <f t="shared" si="9"/>
        <v>31504.285714285717</v>
      </c>
      <c r="J50" s="281">
        <f t="shared" si="7"/>
        <v>123211.42857142858</v>
      </c>
      <c r="K50" s="57"/>
      <c r="L50" s="63" t="s">
        <v>102</v>
      </c>
      <c r="M50" s="63" t="s">
        <v>102</v>
      </c>
      <c r="N50" s="79" t="s">
        <v>102</v>
      </c>
      <c r="O50" s="79" t="s">
        <v>102</v>
      </c>
      <c r="P50" s="79" t="s">
        <v>102</v>
      </c>
      <c r="Q50" s="79" t="s">
        <v>102</v>
      </c>
      <c r="R50" s="48"/>
      <c r="S50" s="48"/>
      <c r="T50" s="48"/>
      <c r="U50" s="48"/>
      <c r="V50" s="48"/>
      <c r="W50" s="48"/>
      <c r="X50" s="48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</row>
    <row r="51" spans="1:238" ht="17.5" x14ac:dyDescent="0.45">
      <c r="A51" s="296" t="s">
        <v>85</v>
      </c>
      <c r="B51" s="281">
        <f t="shared" si="10"/>
        <v>35840.142857142855</v>
      </c>
      <c r="C51" s="281">
        <f t="shared" si="11"/>
        <v>17880.428571428572</v>
      </c>
      <c r="D51" s="281">
        <f t="shared" si="5"/>
        <v>53720.571428571428</v>
      </c>
      <c r="E51" s="281">
        <f t="shared" si="12"/>
        <v>55867</v>
      </c>
      <c r="F51" s="281">
        <f t="shared" si="13"/>
        <v>13623.857142857143</v>
      </c>
      <c r="G51" s="281">
        <f t="shared" si="6"/>
        <v>69490.857142857145</v>
      </c>
      <c r="H51" s="281">
        <f t="shared" si="8"/>
        <v>91707.142857142855</v>
      </c>
      <c r="I51" s="281">
        <f t="shared" si="9"/>
        <v>31504.285714285717</v>
      </c>
      <c r="J51" s="281">
        <f t="shared" si="7"/>
        <v>123211.42857142858</v>
      </c>
      <c r="K51" s="57"/>
      <c r="L51" s="63" t="s">
        <v>102</v>
      </c>
      <c r="M51" s="63" t="s">
        <v>102</v>
      </c>
      <c r="N51" s="79" t="s">
        <v>102</v>
      </c>
      <c r="O51" s="79" t="s">
        <v>102</v>
      </c>
      <c r="P51" s="79" t="s">
        <v>102</v>
      </c>
      <c r="Q51" s="79" t="s">
        <v>102</v>
      </c>
      <c r="R51" s="48"/>
      <c r="S51" s="48"/>
      <c r="T51" s="48"/>
      <c r="U51" s="48"/>
      <c r="V51" s="48"/>
      <c r="W51" s="48"/>
      <c r="X51" s="48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  <c r="IA51" s="49"/>
      <c r="IB51" s="49"/>
      <c r="IC51" s="49"/>
      <c r="ID51" s="49"/>
    </row>
    <row r="52" spans="1:238" ht="17.5" x14ac:dyDescent="0.45">
      <c r="A52" s="296" t="s">
        <v>86</v>
      </c>
      <c r="B52" s="281">
        <f t="shared" si="10"/>
        <v>35840.142857142855</v>
      </c>
      <c r="C52" s="281">
        <f t="shared" si="11"/>
        <v>17880.428571428572</v>
      </c>
      <c r="D52" s="281">
        <f t="shared" si="5"/>
        <v>53720.571428571428</v>
      </c>
      <c r="E52" s="281">
        <f t="shared" si="12"/>
        <v>55867</v>
      </c>
      <c r="F52" s="281">
        <f t="shared" si="13"/>
        <v>13623.857142857143</v>
      </c>
      <c r="G52" s="281">
        <f t="shared" si="6"/>
        <v>69490.857142857145</v>
      </c>
      <c r="H52" s="281">
        <f t="shared" si="8"/>
        <v>91707.142857142855</v>
      </c>
      <c r="I52" s="281">
        <f t="shared" si="9"/>
        <v>31504.285714285717</v>
      </c>
      <c r="J52" s="281">
        <f t="shared" si="7"/>
        <v>123211.42857142858</v>
      </c>
      <c r="K52" s="57"/>
      <c r="L52" s="63" t="s">
        <v>102</v>
      </c>
      <c r="M52" s="63" t="s">
        <v>102</v>
      </c>
      <c r="N52" s="79" t="s">
        <v>102</v>
      </c>
      <c r="O52" s="79" t="s">
        <v>102</v>
      </c>
      <c r="P52" s="79" t="s">
        <v>102</v>
      </c>
      <c r="Q52" s="79" t="s">
        <v>102</v>
      </c>
      <c r="R52" s="48"/>
      <c r="S52" s="48"/>
      <c r="T52" s="48"/>
      <c r="U52" s="48"/>
      <c r="V52" s="48"/>
      <c r="W52" s="48"/>
      <c r="X52" s="48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  <c r="HX52" s="49"/>
      <c r="HY52" s="49"/>
      <c r="HZ52" s="49"/>
      <c r="IA52" s="49"/>
      <c r="IB52" s="49"/>
      <c r="IC52" s="49"/>
      <c r="ID52" s="49"/>
    </row>
    <row r="53" spans="1:238" ht="17.5" x14ac:dyDescent="0.45">
      <c r="A53" s="296" t="s">
        <v>87</v>
      </c>
      <c r="B53" s="281">
        <f t="shared" si="10"/>
        <v>35840.142857142855</v>
      </c>
      <c r="C53" s="281">
        <f t="shared" si="11"/>
        <v>17880.428571428572</v>
      </c>
      <c r="D53" s="281">
        <f t="shared" si="5"/>
        <v>53720.571428571428</v>
      </c>
      <c r="E53" s="281">
        <f t="shared" si="12"/>
        <v>55867</v>
      </c>
      <c r="F53" s="281">
        <f t="shared" si="13"/>
        <v>13623.857142857143</v>
      </c>
      <c r="G53" s="281">
        <f t="shared" si="6"/>
        <v>69490.857142857145</v>
      </c>
      <c r="H53" s="281">
        <f t="shared" si="8"/>
        <v>91707.142857142855</v>
      </c>
      <c r="I53" s="281">
        <f t="shared" si="9"/>
        <v>31504.285714285717</v>
      </c>
      <c r="J53" s="281">
        <f t="shared" si="7"/>
        <v>123211.42857142858</v>
      </c>
      <c r="K53" s="57"/>
      <c r="L53" s="63" t="s">
        <v>102</v>
      </c>
      <c r="M53" s="63" t="s">
        <v>102</v>
      </c>
      <c r="N53" s="79" t="s">
        <v>102</v>
      </c>
      <c r="O53" s="79" t="s">
        <v>102</v>
      </c>
      <c r="P53" s="79" t="s">
        <v>102</v>
      </c>
      <c r="Q53" s="79" t="s">
        <v>102</v>
      </c>
      <c r="R53" s="48"/>
      <c r="S53" s="48"/>
      <c r="T53" s="48"/>
      <c r="U53" s="48"/>
      <c r="V53" s="48"/>
      <c r="W53" s="48"/>
      <c r="X53" s="48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  <c r="IA53" s="49"/>
      <c r="IB53" s="49"/>
      <c r="IC53" s="49"/>
      <c r="ID53" s="49"/>
    </row>
    <row r="54" spans="1:238" ht="17.5" x14ac:dyDescent="0.45">
      <c r="A54" s="296" t="s">
        <v>88</v>
      </c>
      <c r="B54" s="281">
        <f t="shared" si="10"/>
        <v>35840.142857142855</v>
      </c>
      <c r="C54" s="281">
        <f t="shared" si="11"/>
        <v>17880.428571428572</v>
      </c>
      <c r="D54" s="281">
        <f t="shared" si="5"/>
        <v>53720.571428571428</v>
      </c>
      <c r="E54" s="281">
        <f t="shared" si="12"/>
        <v>55867</v>
      </c>
      <c r="F54" s="281">
        <f t="shared" si="13"/>
        <v>13623.857142857143</v>
      </c>
      <c r="G54" s="281">
        <f t="shared" si="6"/>
        <v>69490.857142857145</v>
      </c>
      <c r="H54" s="281">
        <f t="shared" si="8"/>
        <v>91707.142857142855</v>
      </c>
      <c r="I54" s="281">
        <f t="shared" si="9"/>
        <v>31504.285714285717</v>
      </c>
      <c r="J54" s="281">
        <f t="shared" si="7"/>
        <v>123211.42857142858</v>
      </c>
      <c r="K54" s="57"/>
      <c r="L54" s="63" t="s">
        <v>102</v>
      </c>
      <c r="M54" s="63" t="s">
        <v>102</v>
      </c>
      <c r="N54" s="79" t="s">
        <v>102</v>
      </c>
      <c r="O54" s="79" t="s">
        <v>102</v>
      </c>
      <c r="P54" s="79" t="s">
        <v>102</v>
      </c>
      <c r="Q54" s="79" t="s">
        <v>102</v>
      </c>
      <c r="R54" s="48"/>
      <c r="S54" s="48"/>
      <c r="T54" s="48"/>
      <c r="U54" s="48"/>
      <c r="V54" s="48"/>
      <c r="W54" s="48"/>
      <c r="X54" s="48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  <c r="ID54" s="49"/>
    </row>
    <row r="55" spans="1:238" ht="17.5" x14ac:dyDescent="0.45">
      <c r="A55" s="296" t="s">
        <v>89</v>
      </c>
      <c r="B55" s="281">
        <f t="shared" si="10"/>
        <v>35840.142857142855</v>
      </c>
      <c r="C55" s="281">
        <f t="shared" si="11"/>
        <v>17880.428571428572</v>
      </c>
      <c r="D55" s="281">
        <f t="shared" si="5"/>
        <v>53720.571428571428</v>
      </c>
      <c r="E55" s="281">
        <f t="shared" si="12"/>
        <v>55867</v>
      </c>
      <c r="F55" s="281">
        <f t="shared" si="13"/>
        <v>13623.857142857143</v>
      </c>
      <c r="G55" s="281">
        <f t="shared" si="6"/>
        <v>69490.857142857145</v>
      </c>
      <c r="H55" s="281">
        <f t="shared" si="8"/>
        <v>91707.142857142855</v>
      </c>
      <c r="I55" s="281">
        <f t="shared" si="9"/>
        <v>31504.285714285717</v>
      </c>
      <c r="J55" s="281">
        <f t="shared" si="7"/>
        <v>123211.42857142858</v>
      </c>
      <c r="K55" s="57"/>
      <c r="L55" s="63" t="s">
        <v>102</v>
      </c>
      <c r="M55" s="63" t="s">
        <v>102</v>
      </c>
      <c r="N55" s="79" t="s">
        <v>102</v>
      </c>
      <c r="O55" s="79" t="s">
        <v>102</v>
      </c>
      <c r="P55" s="79" t="s">
        <v>102</v>
      </c>
      <c r="Q55" s="79" t="s">
        <v>102</v>
      </c>
      <c r="R55" s="48"/>
      <c r="S55" s="48"/>
      <c r="T55" s="48"/>
      <c r="U55" s="48"/>
      <c r="V55" s="48"/>
      <c r="W55" s="48"/>
      <c r="X55" s="48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  <c r="IA55" s="49"/>
      <c r="IB55" s="49"/>
      <c r="IC55" s="49"/>
      <c r="ID55" s="49"/>
    </row>
    <row r="56" spans="1:238" ht="18" thickBot="1" x14ac:dyDescent="0.5">
      <c r="A56" s="296" t="s">
        <v>90</v>
      </c>
      <c r="B56" s="281">
        <f>B55</f>
        <v>35840.142857142855</v>
      </c>
      <c r="C56" s="281">
        <f>C55</f>
        <v>17880.428571428572</v>
      </c>
      <c r="D56" s="281">
        <f t="shared" si="5"/>
        <v>53720.571428571428</v>
      </c>
      <c r="E56" s="281">
        <f>E54</f>
        <v>55867</v>
      </c>
      <c r="F56" s="281">
        <f>F55</f>
        <v>13623.857142857143</v>
      </c>
      <c r="G56" s="281">
        <f t="shared" si="6"/>
        <v>69490.857142857145</v>
      </c>
      <c r="H56" s="281">
        <f t="shared" si="8"/>
        <v>91707.142857142855</v>
      </c>
      <c r="I56" s="281">
        <f t="shared" si="9"/>
        <v>31504.285714285717</v>
      </c>
      <c r="J56" s="281">
        <f t="shared" si="7"/>
        <v>123211.42857142858</v>
      </c>
      <c r="K56" s="57"/>
      <c r="L56" s="63" t="s">
        <v>102</v>
      </c>
      <c r="M56" s="63" t="s">
        <v>102</v>
      </c>
      <c r="N56" s="79" t="s">
        <v>102</v>
      </c>
      <c r="O56" s="79" t="s">
        <v>102</v>
      </c>
      <c r="P56" s="79" t="s">
        <v>102</v>
      </c>
      <c r="Q56" s="79" t="s">
        <v>102</v>
      </c>
      <c r="R56" s="48"/>
      <c r="S56" s="48"/>
      <c r="T56" s="48"/>
      <c r="U56" s="48"/>
      <c r="V56" s="48"/>
      <c r="W56" s="48"/>
      <c r="X56" s="48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  <c r="HX56" s="49"/>
      <c r="HY56" s="49"/>
      <c r="HZ56" s="49"/>
      <c r="IA56" s="49"/>
      <c r="IB56" s="49"/>
      <c r="IC56" s="49"/>
      <c r="ID56" s="49"/>
    </row>
    <row r="57" spans="1:238" ht="18.5" x14ac:dyDescent="0.45">
      <c r="A57" s="296" t="s">
        <v>91</v>
      </c>
      <c r="B57" s="285">
        <f t="shared" ref="B57:J57" si="14">SUM(B7:B56)</f>
        <v>2278136.2857142854</v>
      </c>
      <c r="C57" s="285">
        <f t="shared" si="14"/>
        <v>1886563.8571428577</v>
      </c>
      <c r="D57" s="285">
        <f t="shared" si="14"/>
        <v>4164700.1428571423</v>
      </c>
      <c r="E57" s="285">
        <f t="shared" si="14"/>
        <v>3490004</v>
      </c>
      <c r="F57" s="285">
        <f t="shared" si="14"/>
        <v>1973224.7142857134</v>
      </c>
      <c r="G57" s="285">
        <f t="shared" si="14"/>
        <v>5463228.7142857155</v>
      </c>
      <c r="H57" s="285">
        <f t="shared" si="14"/>
        <v>5768140.2857142845</v>
      </c>
      <c r="I57" s="285">
        <f t="shared" si="14"/>
        <v>3859788.5714285732</v>
      </c>
      <c r="J57" s="285">
        <f t="shared" si="14"/>
        <v>9627928.8571428619</v>
      </c>
      <c r="K57" s="87"/>
      <c r="L57" s="70"/>
      <c r="M57" s="70"/>
      <c r="N57" s="95"/>
      <c r="O57" s="95"/>
      <c r="P57" s="95"/>
      <c r="Q57" s="95"/>
      <c r="R57" s="20"/>
      <c r="S57" s="20"/>
      <c r="T57" s="20"/>
      <c r="U57" s="20"/>
      <c r="V57" s="20"/>
      <c r="W57" s="20"/>
      <c r="X57" s="20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</row>
    <row r="58" spans="1:238" ht="18.5" x14ac:dyDescent="0.45">
      <c r="A58" s="296" t="str">
        <f>Page_13!A58</f>
        <v>7 - Year Hist Avg (A-12)</v>
      </c>
      <c r="B58" s="281">
        <f>AVERAGE(B41:B47)</f>
        <v>35840.142857142855</v>
      </c>
      <c r="C58" s="281">
        <f>AVERAGE(C41:C47)</f>
        <v>17880.428571428572</v>
      </c>
      <c r="D58" s="281">
        <f>SUM(B58:C58)</f>
        <v>53720.571428571428</v>
      </c>
      <c r="E58" s="281">
        <f>AVERAGE(E41:E47)</f>
        <v>55867</v>
      </c>
      <c r="F58" s="281">
        <f>AVERAGE(F41:F47)</f>
        <v>13623.857142857143</v>
      </c>
      <c r="G58" s="281">
        <f>SUM(E58:F58)</f>
        <v>69490.857142857145</v>
      </c>
      <c r="H58" s="281">
        <f>B58+E58</f>
        <v>91707.142857142855</v>
      </c>
      <c r="I58" s="281">
        <f>C58+F58</f>
        <v>31504.285714285717</v>
      </c>
      <c r="J58" s="281">
        <f>SUM(H58:I58)</f>
        <v>123211.42857142858</v>
      </c>
      <c r="K58" s="87"/>
      <c r="L58" s="70"/>
      <c r="M58" s="70"/>
      <c r="N58" s="95"/>
      <c r="O58" s="95"/>
      <c r="P58" s="95"/>
      <c r="Q58" s="95" t="s">
        <v>102</v>
      </c>
      <c r="R58" s="20"/>
      <c r="S58" s="20"/>
      <c r="T58" s="20"/>
      <c r="U58" s="20"/>
      <c r="V58" s="20"/>
      <c r="W58" s="20"/>
      <c r="X58" s="20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</row>
    <row r="59" spans="1:238" s="54" customFormat="1" ht="17.5" x14ac:dyDescent="0.45">
      <c r="A59" s="319" t="str">
        <f>Page_13!A59</f>
        <v>Projected Del. (A-2ba)</v>
      </c>
      <c r="B59" s="281">
        <f>SUM(B49:B56)</f>
        <v>286721.14285714278</v>
      </c>
      <c r="C59" s="281">
        <f>SUM(C49:C56)</f>
        <v>143043.42857142861</v>
      </c>
      <c r="D59" s="281">
        <f>SUM(D49:D56)</f>
        <v>429764.57142857142</v>
      </c>
      <c r="E59" s="281">
        <f>SUM(E49:E56)</f>
        <v>446936</v>
      </c>
      <c r="F59" s="281">
        <f>SUM(F49:F56)</f>
        <v>108990.85714285714</v>
      </c>
      <c r="G59" s="281">
        <f>SUM(E59:F59)</f>
        <v>555926.85714285716</v>
      </c>
      <c r="H59" s="281">
        <f>SUM(H49:H56)</f>
        <v>733657.14285714284</v>
      </c>
      <c r="I59" s="281">
        <f>SUM(I49:I56)</f>
        <v>252034.28571428571</v>
      </c>
      <c r="J59" s="281">
        <f>SUM(H59:I59)</f>
        <v>985691.42857142852</v>
      </c>
      <c r="K59" s="51"/>
      <c r="L59" s="113" t="s">
        <v>102</v>
      </c>
      <c r="M59" s="113" t="s">
        <v>102</v>
      </c>
      <c r="N59" s="117" t="s">
        <v>102</v>
      </c>
      <c r="O59" s="117" t="s">
        <v>102</v>
      </c>
      <c r="P59" s="117" t="s">
        <v>102</v>
      </c>
      <c r="Q59" s="117" t="s">
        <v>102</v>
      </c>
      <c r="R59" s="29"/>
      <c r="S59" s="29"/>
      <c r="T59" s="29"/>
      <c r="U59" s="29"/>
      <c r="V59" s="29"/>
      <c r="W59" s="29"/>
      <c r="X59" s="29"/>
    </row>
    <row r="60" spans="1:238" x14ac:dyDescent="0.35">
      <c r="A60" s="5"/>
      <c r="B60" s="118" t="s">
        <v>102</v>
      </c>
      <c r="C60" s="118" t="s">
        <v>102</v>
      </c>
      <c r="D60" s="118" t="s">
        <v>102</v>
      </c>
      <c r="E60" s="118" t="s">
        <v>102</v>
      </c>
      <c r="F60" s="118" t="s">
        <v>102</v>
      </c>
      <c r="G60" s="118" t="s">
        <v>102</v>
      </c>
      <c r="H60" s="118" t="s">
        <v>102</v>
      </c>
      <c r="I60" s="118" t="s">
        <v>102</v>
      </c>
      <c r="J60" s="118" t="s">
        <v>102</v>
      </c>
      <c r="K60" s="57"/>
      <c r="L60" s="56" t="s">
        <v>102</v>
      </c>
      <c r="M60" s="56" t="s">
        <v>102</v>
      </c>
      <c r="N60" s="80" t="s">
        <v>102</v>
      </c>
      <c r="O60" s="80" t="s">
        <v>102</v>
      </c>
      <c r="P60" s="80" t="s">
        <v>102</v>
      </c>
      <c r="Q60" s="80" t="s">
        <v>102</v>
      </c>
      <c r="R60" s="30"/>
      <c r="S60" s="30"/>
      <c r="T60" s="30"/>
      <c r="U60" s="30"/>
      <c r="V60" s="30"/>
      <c r="W60" s="30"/>
      <c r="X60" s="30"/>
    </row>
    <row r="61" spans="1:238" x14ac:dyDescent="0.35">
      <c r="A61" s="5"/>
      <c r="B61" s="118" t="s">
        <v>102</v>
      </c>
      <c r="C61" s="118" t="s">
        <v>102</v>
      </c>
      <c r="D61" s="118" t="s">
        <v>102</v>
      </c>
      <c r="E61" s="118" t="s">
        <v>102</v>
      </c>
      <c r="F61" s="118" t="s">
        <v>102</v>
      </c>
      <c r="G61" s="118" t="s">
        <v>102</v>
      </c>
      <c r="H61" s="118" t="s">
        <v>102</v>
      </c>
      <c r="I61" s="118" t="s">
        <v>102</v>
      </c>
      <c r="J61" s="118" t="s">
        <v>102</v>
      </c>
      <c r="K61" s="57"/>
      <c r="L61" s="56" t="s">
        <v>102</v>
      </c>
      <c r="M61" s="56" t="s">
        <v>102</v>
      </c>
      <c r="N61" s="80" t="s">
        <v>102</v>
      </c>
      <c r="O61" s="80" t="s">
        <v>102</v>
      </c>
      <c r="P61" s="80" t="s">
        <v>102</v>
      </c>
      <c r="Q61" s="80" t="s">
        <v>102</v>
      </c>
      <c r="R61" s="30"/>
      <c r="S61" s="30"/>
      <c r="T61" s="30"/>
      <c r="U61" s="30"/>
      <c r="V61" s="30"/>
      <c r="W61" s="30"/>
      <c r="X61" s="30"/>
    </row>
    <row r="62" spans="1:238" x14ac:dyDescent="0.35">
      <c r="A62" s="5"/>
      <c r="B62" s="118" t="s">
        <v>102</v>
      </c>
      <c r="C62" s="118" t="s">
        <v>102</v>
      </c>
      <c r="D62" s="118" t="s">
        <v>102</v>
      </c>
      <c r="E62" s="118" t="s">
        <v>102</v>
      </c>
      <c r="F62" s="118" t="s">
        <v>102</v>
      </c>
      <c r="G62" s="118" t="s">
        <v>102</v>
      </c>
      <c r="H62" s="118" t="s">
        <v>102</v>
      </c>
      <c r="I62" s="118" t="s">
        <v>102</v>
      </c>
      <c r="J62" s="118" t="s">
        <v>102</v>
      </c>
      <c r="K62" s="57"/>
      <c r="L62" s="56" t="s">
        <v>102</v>
      </c>
      <c r="M62" s="56" t="s">
        <v>102</v>
      </c>
      <c r="N62" s="80" t="s">
        <v>102</v>
      </c>
      <c r="O62" s="80" t="s">
        <v>102</v>
      </c>
      <c r="P62" s="80" t="s">
        <v>102</v>
      </c>
      <c r="Q62" s="80" t="s">
        <v>102</v>
      </c>
      <c r="R62" s="30"/>
      <c r="S62" s="30"/>
      <c r="T62" s="30"/>
      <c r="U62" s="30"/>
      <c r="V62" s="30"/>
      <c r="W62" s="30"/>
      <c r="X62" s="30"/>
    </row>
    <row r="63" spans="1:238" x14ac:dyDescent="0.35">
      <c r="A63" s="5"/>
      <c r="B63" s="118" t="s">
        <v>102</v>
      </c>
      <c r="C63" s="118" t="s">
        <v>102</v>
      </c>
      <c r="D63" s="118" t="s">
        <v>102</v>
      </c>
      <c r="E63" s="118" t="s">
        <v>102</v>
      </c>
      <c r="F63" s="118" t="s">
        <v>102</v>
      </c>
      <c r="G63" s="118" t="s">
        <v>102</v>
      </c>
      <c r="H63" s="118" t="s">
        <v>102</v>
      </c>
      <c r="I63" s="118" t="s">
        <v>102</v>
      </c>
      <c r="J63" s="118" t="s">
        <v>102</v>
      </c>
      <c r="K63" s="57"/>
      <c r="L63" s="56" t="s">
        <v>102</v>
      </c>
      <c r="M63" s="56" t="s">
        <v>102</v>
      </c>
      <c r="N63" s="80" t="s">
        <v>102</v>
      </c>
      <c r="O63" s="80" t="s">
        <v>102</v>
      </c>
      <c r="P63" s="80" t="s">
        <v>102</v>
      </c>
      <c r="Q63" s="80" t="s">
        <v>102</v>
      </c>
      <c r="R63" s="30"/>
      <c r="S63" s="30"/>
      <c r="T63" s="30"/>
      <c r="U63" s="30"/>
      <c r="V63" s="30"/>
      <c r="W63" s="30"/>
      <c r="X63" s="30"/>
    </row>
    <row r="64" spans="1:238" x14ac:dyDescent="0.35">
      <c r="A64" s="5"/>
      <c r="B64" s="118" t="s">
        <v>102</v>
      </c>
      <c r="C64" s="118" t="s">
        <v>102</v>
      </c>
      <c r="D64" s="118" t="s">
        <v>102</v>
      </c>
      <c r="E64" s="118" t="s">
        <v>102</v>
      </c>
      <c r="F64" s="118" t="s">
        <v>102</v>
      </c>
      <c r="G64" s="118" t="s">
        <v>102</v>
      </c>
      <c r="H64" s="118" t="s">
        <v>102</v>
      </c>
      <c r="I64" s="118" t="s">
        <v>102</v>
      </c>
      <c r="J64" s="118" t="s">
        <v>102</v>
      </c>
      <c r="K64" s="57"/>
      <c r="L64" s="56" t="s">
        <v>102</v>
      </c>
      <c r="M64" s="56" t="s">
        <v>102</v>
      </c>
      <c r="N64" s="80" t="s">
        <v>102</v>
      </c>
      <c r="O64" s="80" t="s">
        <v>102</v>
      </c>
      <c r="P64" s="80" t="s">
        <v>102</v>
      </c>
      <c r="Q64" s="80" t="s">
        <v>102</v>
      </c>
      <c r="R64" s="30"/>
      <c r="S64" s="30"/>
      <c r="T64" s="30"/>
      <c r="U64" s="30"/>
      <c r="V64" s="30"/>
      <c r="W64" s="30"/>
      <c r="X64" s="30"/>
    </row>
    <row r="65" spans="1:24" x14ac:dyDescent="0.35">
      <c r="A65" s="5"/>
      <c r="B65" s="118" t="s">
        <v>102</v>
      </c>
      <c r="C65" s="118" t="s">
        <v>102</v>
      </c>
      <c r="D65" s="118" t="s">
        <v>102</v>
      </c>
      <c r="E65" s="118" t="s">
        <v>102</v>
      </c>
      <c r="F65" s="118" t="s">
        <v>102</v>
      </c>
      <c r="G65" s="118" t="s">
        <v>102</v>
      </c>
      <c r="H65" s="118" t="s">
        <v>102</v>
      </c>
      <c r="I65" s="118" t="s">
        <v>102</v>
      </c>
      <c r="J65" s="118" t="s">
        <v>102</v>
      </c>
      <c r="K65" s="57"/>
      <c r="L65" s="56" t="s">
        <v>102</v>
      </c>
      <c r="M65" s="56" t="s">
        <v>102</v>
      </c>
      <c r="N65" s="80" t="s">
        <v>102</v>
      </c>
      <c r="O65" s="80" t="s">
        <v>102</v>
      </c>
      <c r="P65" s="80" t="s">
        <v>102</v>
      </c>
      <c r="Q65" s="80" t="s">
        <v>102</v>
      </c>
      <c r="R65" s="30"/>
      <c r="S65" s="30"/>
      <c r="T65" s="30"/>
      <c r="U65" s="30"/>
      <c r="V65" s="30"/>
      <c r="W65" s="30"/>
      <c r="X65" s="30"/>
    </row>
    <row r="66" spans="1:24" x14ac:dyDescent="0.35">
      <c r="A66" s="5"/>
      <c r="B66" s="119"/>
      <c r="C66" s="119"/>
      <c r="D66" s="119"/>
      <c r="E66" s="119"/>
      <c r="F66" s="119"/>
      <c r="G66" s="119"/>
      <c r="H66" s="119"/>
      <c r="I66" s="119"/>
      <c r="J66" s="119"/>
      <c r="K66" s="57"/>
      <c r="L66" s="57"/>
      <c r="M66" s="57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</row>
    <row r="67" spans="1:24" x14ac:dyDescent="0.35">
      <c r="A67" s="5"/>
      <c r="B67" s="119"/>
      <c r="C67" s="119"/>
      <c r="D67" s="119"/>
      <c r="E67" s="119"/>
      <c r="F67" s="119"/>
      <c r="G67" s="119"/>
      <c r="H67" s="119"/>
      <c r="I67" s="119"/>
      <c r="J67" s="119"/>
      <c r="K67" s="57"/>
      <c r="L67" s="57"/>
      <c r="M67" s="57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</row>
    <row r="68" spans="1:24" x14ac:dyDescent="0.35">
      <c r="A68" s="5"/>
      <c r="B68" s="119"/>
      <c r="C68" s="119"/>
      <c r="D68" s="119"/>
      <c r="E68" s="119"/>
      <c r="F68" s="119"/>
      <c r="G68" s="119"/>
      <c r="H68" s="119"/>
      <c r="I68" s="119"/>
      <c r="J68" s="119"/>
      <c r="K68" s="57"/>
      <c r="L68" s="57"/>
      <c r="M68" s="57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</row>
    <row r="69" spans="1:24" x14ac:dyDescent="0.35">
      <c r="A69" s="5"/>
      <c r="B69" s="119"/>
      <c r="C69" s="119"/>
      <c r="D69" s="119"/>
      <c r="E69" s="119"/>
      <c r="F69" s="119"/>
      <c r="G69" s="119"/>
      <c r="H69" s="119"/>
      <c r="I69" s="119"/>
      <c r="J69" s="119"/>
      <c r="K69" s="57"/>
      <c r="L69" s="57"/>
      <c r="M69" s="57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</row>
    <row r="70" spans="1:24" x14ac:dyDescent="0.35">
      <c r="A70" s="5"/>
      <c r="B70" s="119"/>
      <c r="C70" s="119"/>
      <c r="D70" s="119"/>
      <c r="E70" s="119"/>
      <c r="F70" s="119"/>
      <c r="G70" s="119"/>
      <c r="H70" s="119"/>
      <c r="I70" s="119"/>
      <c r="J70" s="119"/>
      <c r="K70" s="57"/>
      <c r="L70" s="57"/>
      <c r="M70" s="57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</row>
    <row r="71" spans="1:24" x14ac:dyDescent="0.35">
      <c r="A71" s="5"/>
      <c r="B71" s="119"/>
      <c r="C71" s="119"/>
      <c r="D71" s="119"/>
      <c r="E71" s="119"/>
      <c r="F71" s="119"/>
      <c r="G71" s="119"/>
      <c r="H71" s="119"/>
      <c r="I71" s="119"/>
      <c r="J71" s="119"/>
      <c r="K71" s="57"/>
      <c r="L71" s="57"/>
      <c r="M71" s="57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</row>
    <row r="72" spans="1:24" x14ac:dyDescent="0.35">
      <c r="A72" s="5"/>
      <c r="B72" s="119"/>
      <c r="C72" s="119"/>
      <c r="D72" s="119"/>
      <c r="E72" s="119"/>
      <c r="F72" s="119"/>
      <c r="G72" s="119"/>
      <c r="H72" s="119"/>
      <c r="I72" s="119"/>
      <c r="J72" s="119"/>
      <c r="K72" s="57"/>
      <c r="L72" s="57"/>
      <c r="M72" s="57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</row>
    <row r="73" spans="1:24" x14ac:dyDescent="0.35">
      <c r="A73" s="5"/>
      <c r="B73" s="119"/>
      <c r="C73" s="119"/>
      <c r="D73" s="119"/>
      <c r="E73" s="119"/>
      <c r="F73" s="119"/>
      <c r="G73" s="119"/>
      <c r="H73" s="119"/>
      <c r="I73" s="119"/>
      <c r="J73" s="119"/>
      <c r="K73" s="57"/>
      <c r="L73" s="57"/>
      <c r="M73" s="57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</row>
    <row r="74" spans="1:24" x14ac:dyDescent="0.35">
      <c r="A74" s="5"/>
      <c r="B74" s="119"/>
      <c r="C74" s="119"/>
      <c r="D74" s="119"/>
      <c r="E74" s="119"/>
      <c r="F74" s="119"/>
      <c r="G74" s="119"/>
      <c r="H74" s="119"/>
      <c r="I74" s="119"/>
      <c r="J74" s="119"/>
      <c r="K74" s="57"/>
      <c r="L74" s="57"/>
      <c r="M74" s="57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</row>
    <row r="75" spans="1:24" x14ac:dyDescent="0.35">
      <c r="A75" s="5"/>
      <c r="B75" s="119"/>
      <c r="C75" s="119"/>
      <c r="D75" s="119"/>
      <c r="E75" s="119"/>
      <c r="F75" s="119"/>
      <c r="G75" s="119"/>
      <c r="H75" s="119"/>
      <c r="I75" s="119"/>
      <c r="J75" s="119"/>
      <c r="K75" s="57"/>
      <c r="L75" s="57"/>
      <c r="M75" s="57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</row>
    <row r="76" spans="1:24" x14ac:dyDescent="0.35">
      <c r="A76" s="5"/>
      <c r="B76" s="119"/>
      <c r="C76" s="119"/>
      <c r="D76" s="119"/>
      <c r="E76" s="119"/>
      <c r="F76" s="119"/>
      <c r="G76" s="119"/>
      <c r="H76" s="119"/>
      <c r="I76" s="119"/>
      <c r="J76" s="119"/>
      <c r="K76" s="57"/>
      <c r="L76" s="57"/>
      <c r="M76" s="57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</row>
    <row r="77" spans="1:24" x14ac:dyDescent="0.35">
      <c r="A77" s="5"/>
      <c r="B77" s="119"/>
      <c r="C77" s="119"/>
      <c r="D77" s="119"/>
      <c r="E77" s="119"/>
      <c r="F77" s="119"/>
      <c r="G77" s="119"/>
      <c r="H77" s="119"/>
      <c r="I77" s="119"/>
      <c r="J77" s="119"/>
      <c r="K77" s="57"/>
      <c r="L77" s="57"/>
      <c r="M77" s="57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</row>
    <row r="78" spans="1:24" x14ac:dyDescent="0.35">
      <c r="A78" s="5"/>
      <c r="B78" s="119"/>
      <c r="C78" s="119"/>
      <c r="D78" s="119"/>
      <c r="E78" s="119"/>
      <c r="F78" s="119"/>
      <c r="G78" s="119"/>
      <c r="H78" s="119"/>
      <c r="I78" s="119"/>
      <c r="J78" s="119"/>
      <c r="K78" s="57"/>
      <c r="L78" s="57"/>
      <c r="M78" s="57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</row>
    <row r="79" spans="1:24" x14ac:dyDescent="0.35">
      <c r="A79" s="5"/>
      <c r="B79" s="119"/>
      <c r="C79" s="119"/>
      <c r="D79" s="119"/>
      <c r="E79" s="119"/>
      <c r="F79" s="119"/>
      <c r="G79" s="119"/>
      <c r="H79" s="119"/>
      <c r="I79" s="119"/>
      <c r="J79" s="119"/>
      <c r="K79" s="57"/>
      <c r="L79" s="57"/>
      <c r="M79" s="57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</row>
    <row r="80" spans="1:24" x14ac:dyDescent="0.35">
      <c r="A80" s="5"/>
      <c r="B80" s="119"/>
      <c r="C80" s="119"/>
      <c r="D80" s="119"/>
      <c r="E80" s="119"/>
      <c r="F80" s="119"/>
      <c r="G80" s="119"/>
      <c r="H80" s="119"/>
      <c r="I80" s="119"/>
      <c r="J80" s="119"/>
      <c r="K80" s="57"/>
      <c r="L80" s="57"/>
      <c r="M80" s="57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</row>
    <row r="81" spans="1:24" x14ac:dyDescent="0.35">
      <c r="A81" s="5"/>
      <c r="B81" s="119"/>
      <c r="C81" s="119"/>
      <c r="D81" s="119"/>
      <c r="E81" s="119"/>
      <c r="F81" s="119"/>
      <c r="G81" s="119"/>
      <c r="H81" s="119"/>
      <c r="I81" s="119"/>
      <c r="J81" s="119"/>
      <c r="K81" s="57"/>
      <c r="L81" s="57"/>
      <c r="M81" s="57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</row>
    <row r="82" spans="1:24" x14ac:dyDescent="0.35">
      <c r="B82" s="120"/>
      <c r="C82" s="120"/>
      <c r="D82" s="120"/>
      <c r="E82" s="120"/>
      <c r="F82" s="120"/>
      <c r="G82" s="120"/>
      <c r="H82" s="120"/>
      <c r="I82" s="120"/>
      <c r="J82" s="12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</row>
    <row r="83" spans="1:24" x14ac:dyDescent="0.35">
      <c r="B83" s="120"/>
      <c r="C83" s="120"/>
      <c r="D83" s="120"/>
      <c r="E83" s="120"/>
      <c r="F83" s="120"/>
      <c r="G83" s="120"/>
      <c r="H83" s="120"/>
      <c r="I83" s="120"/>
      <c r="J83" s="12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</row>
    <row r="84" spans="1:24" x14ac:dyDescent="0.35">
      <c r="B84" s="120"/>
      <c r="C84" s="120"/>
      <c r="D84" s="120"/>
      <c r="E84" s="120"/>
      <c r="F84" s="120"/>
      <c r="G84" s="120"/>
      <c r="H84" s="120"/>
      <c r="I84" s="120"/>
      <c r="J84" s="12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</row>
    <row r="85" spans="1:24" x14ac:dyDescent="0.35">
      <c r="B85" s="120"/>
      <c r="C85" s="120"/>
      <c r="D85" s="120"/>
      <c r="E85" s="120"/>
      <c r="F85" s="120"/>
      <c r="G85" s="120"/>
      <c r="H85" s="120"/>
      <c r="I85" s="120"/>
      <c r="J85" s="12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</row>
    <row r="86" spans="1:24" x14ac:dyDescent="0.35">
      <c r="B86" s="120"/>
      <c r="C86" s="120"/>
      <c r="D86" s="120"/>
      <c r="E86" s="120"/>
      <c r="F86" s="120"/>
      <c r="G86" s="120"/>
      <c r="H86" s="120"/>
      <c r="I86" s="120"/>
      <c r="J86" s="12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</row>
    <row r="87" spans="1:24" x14ac:dyDescent="0.35">
      <c r="B87" s="120"/>
      <c r="C87" s="120"/>
      <c r="D87" s="120"/>
      <c r="E87" s="120"/>
      <c r="F87" s="120"/>
      <c r="G87" s="120"/>
      <c r="H87" s="120"/>
      <c r="I87" s="120"/>
      <c r="J87" s="12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</row>
    <row r="88" spans="1:24" x14ac:dyDescent="0.35">
      <c r="B88" s="120"/>
      <c r="C88" s="120"/>
      <c r="D88" s="120"/>
      <c r="E88" s="120"/>
      <c r="F88" s="120"/>
      <c r="G88" s="120"/>
      <c r="H88" s="120"/>
      <c r="I88" s="120"/>
      <c r="J88" s="12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</row>
    <row r="89" spans="1:24" x14ac:dyDescent="0.35">
      <c r="B89" s="120"/>
      <c r="C89" s="120"/>
      <c r="D89" s="120"/>
      <c r="E89" s="120"/>
      <c r="F89" s="120"/>
      <c r="G89" s="120"/>
      <c r="H89" s="120"/>
      <c r="I89" s="120"/>
      <c r="J89" s="12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</row>
    <row r="90" spans="1:24" x14ac:dyDescent="0.35">
      <c r="B90" s="120"/>
      <c r="C90" s="120"/>
      <c r="D90" s="120"/>
      <c r="E90" s="120"/>
      <c r="F90" s="120"/>
      <c r="G90" s="120"/>
      <c r="H90" s="120"/>
      <c r="I90" s="120"/>
      <c r="J90" s="12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</row>
    <row r="91" spans="1:24" x14ac:dyDescent="0.35">
      <c r="B91" s="120"/>
      <c r="C91" s="120"/>
      <c r="D91" s="120"/>
      <c r="E91" s="120"/>
      <c r="F91" s="120"/>
      <c r="G91" s="120"/>
      <c r="H91" s="120"/>
      <c r="I91" s="120"/>
      <c r="J91" s="12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</row>
    <row r="92" spans="1:24" x14ac:dyDescent="0.35">
      <c r="B92" s="120"/>
      <c r="C92" s="120"/>
      <c r="D92" s="120"/>
      <c r="E92" s="120"/>
      <c r="F92" s="120"/>
      <c r="G92" s="120"/>
      <c r="H92" s="120"/>
      <c r="I92" s="120"/>
      <c r="J92" s="12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</row>
    <row r="93" spans="1:24" x14ac:dyDescent="0.35">
      <c r="B93" s="120"/>
      <c r="C93" s="120"/>
      <c r="D93" s="120"/>
      <c r="E93" s="120"/>
      <c r="F93" s="120"/>
      <c r="G93" s="120"/>
      <c r="H93" s="120"/>
      <c r="I93" s="120"/>
      <c r="J93" s="12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</row>
    <row r="94" spans="1:24" x14ac:dyDescent="0.35">
      <c r="B94" s="120"/>
      <c r="C94" s="120"/>
      <c r="D94" s="120"/>
      <c r="E94" s="120"/>
      <c r="F94" s="120"/>
      <c r="G94" s="120"/>
      <c r="H94" s="120"/>
      <c r="I94" s="120"/>
      <c r="J94" s="12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</row>
    <row r="95" spans="1:24" x14ac:dyDescent="0.35">
      <c r="B95" s="120"/>
      <c r="C95" s="120"/>
      <c r="D95" s="120"/>
      <c r="E95" s="120"/>
      <c r="F95" s="120"/>
      <c r="G95" s="120"/>
      <c r="H95" s="120"/>
      <c r="I95" s="120"/>
      <c r="J95" s="12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</row>
    <row r="96" spans="1:24" x14ac:dyDescent="0.35">
      <c r="B96" s="120"/>
      <c r="C96" s="120"/>
      <c r="D96" s="120"/>
      <c r="E96" s="120"/>
      <c r="F96" s="120"/>
      <c r="G96" s="120"/>
      <c r="H96" s="120"/>
      <c r="I96" s="120"/>
      <c r="J96" s="12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</row>
    <row r="97" spans="2:24" x14ac:dyDescent="0.35">
      <c r="B97" s="120"/>
      <c r="C97" s="120"/>
      <c r="D97" s="120"/>
      <c r="E97" s="120"/>
      <c r="F97" s="120"/>
      <c r="G97" s="120"/>
      <c r="H97" s="120"/>
      <c r="I97" s="120"/>
      <c r="J97" s="12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</row>
    <row r="98" spans="2:24" x14ac:dyDescent="0.35">
      <c r="B98" s="120"/>
      <c r="C98" s="120"/>
      <c r="D98" s="120"/>
      <c r="E98" s="120"/>
      <c r="F98" s="120"/>
      <c r="G98" s="120"/>
      <c r="H98" s="120"/>
      <c r="I98" s="120"/>
      <c r="J98" s="12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</row>
    <row r="99" spans="2:24" x14ac:dyDescent="0.35">
      <c r="B99" s="120"/>
      <c r="C99" s="120"/>
      <c r="D99" s="120"/>
      <c r="E99" s="120"/>
      <c r="F99" s="120"/>
      <c r="G99" s="120"/>
      <c r="H99" s="120"/>
      <c r="I99" s="120"/>
      <c r="J99" s="12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</row>
    <row r="100" spans="2:24" x14ac:dyDescent="0.35">
      <c r="B100" s="120"/>
      <c r="C100" s="120"/>
      <c r="D100" s="120"/>
      <c r="E100" s="120"/>
      <c r="F100" s="120"/>
      <c r="G100" s="120"/>
      <c r="H100" s="120"/>
      <c r="I100" s="120"/>
      <c r="J100" s="12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</row>
    <row r="101" spans="2:24" x14ac:dyDescent="0.35">
      <c r="B101" s="120"/>
      <c r="C101" s="120"/>
      <c r="D101" s="120"/>
      <c r="E101" s="120"/>
      <c r="F101" s="120"/>
      <c r="G101" s="120"/>
      <c r="H101" s="120"/>
      <c r="I101" s="120"/>
      <c r="J101" s="12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</row>
    <row r="102" spans="2:24" x14ac:dyDescent="0.35">
      <c r="B102" s="120"/>
      <c r="C102" s="120"/>
      <c r="D102" s="120"/>
      <c r="E102" s="120"/>
      <c r="F102" s="120"/>
      <c r="G102" s="120"/>
      <c r="H102" s="120"/>
      <c r="I102" s="120"/>
      <c r="J102" s="12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</row>
    <row r="103" spans="2:24" x14ac:dyDescent="0.35">
      <c r="B103" s="120"/>
      <c r="C103" s="120"/>
      <c r="D103" s="120"/>
      <c r="E103" s="120"/>
      <c r="F103" s="120"/>
      <c r="G103" s="120"/>
      <c r="H103" s="120"/>
      <c r="I103" s="120"/>
      <c r="J103" s="12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</row>
    <row r="104" spans="2:24" x14ac:dyDescent="0.35">
      <c r="B104" s="120"/>
      <c r="C104" s="120"/>
      <c r="D104" s="120"/>
      <c r="E104" s="120"/>
      <c r="F104" s="120"/>
      <c r="G104" s="120"/>
      <c r="H104" s="120"/>
      <c r="I104" s="120"/>
      <c r="J104" s="12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</row>
    <row r="105" spans="2:24" x14ac:dyDescent="0.35">
      <c r="B105" s="120"/>
      <c r="C105" s="120"/>
      <c r="D105" s="120"/>
      <c r="E105" s="120"/>
      <c r="F105" s="120"/>
      <c r="G105" s="120"/>
      <c r="H105" s="120"/>
      <c r="I105" s="120"/>
      <c r="J105" s="12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</row>
    <row r="106" spans="2:24" x14ac:dyDescent="0.35">
      <c r="B106" s="120"/>
      <c r="C106" s="120"/>
      <c r="D106" s="120"/>
      <c r="E106" s="120"/>
      <c r="F106" s="120"/>
      <c r="G106" s="120"/>
      <c r="H106" s="120"/>
      <c r="I106" s="120"/>
      <c r="J106" s="12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</row>
    <row r="107" spans="2:24" x14ac:dyDescent="0.35">
      <c r="B107" s="120"/>
      <c r="C107" s="120"/>
      <c r="D107" s="120"/>
      <c r="E107" s="120"/>
      <c r="F107" s="120"/>
      <c r="G107" s="120"/>
      <c r="H107" s="120"/>
      <c r="I107" s="120"/>
      <c r="J107" s="12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</row>
    <row r="108" spans="2:24" x14ac:dyDescent="0.35">
      <c r="B108" s="120"/>
      <c r="C108" s="120"/>
      <c r="D108" s="120"/>
      <c r="E108" s="120"/>
      <c r="F108" s="120"/>
      <c r="G108" s="120"/>
      <c r="H108" s="120"/>
      <c r="I108" s="120"/>
      <c r="J108" s="12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</row>
    <row r="109" spans="2:24" x14ac:dyDescent="0.35">
      <c r="B109" s="120"/>
      <c r="C109" s="120"/>
      <c r="D109" s="120"/>
      <c r="E109" s="120"/>
      <c r="F109" s="120"/>
      <c r="G109" s="120"/>
      <c r="H109" s="120"/>
      <c r="I109" s="120"/>
      <c r="J109" s="12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</row>
    <row r="110" spans="2:24" x14ac:dyDescent="0.35">
      <c r="B110" s="120"/>
      <c r="C110" s="120"/>
      <c r="D110" s="120"/>
      <c r="E110" s="120"/>
      <c r="F110" s="120"/>
      <c r="G110" s="120"/>
      <c r="H110" s="120"/>
      <c r="I110" s="120"/>
      <c r="J110" s="12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</row>
    <row r="111" spans="2:24" x14ac:dyDescent="0.35">
      <c r="B111" s="120"/>
      <c r="C111" s="120"/>
      <c r="D111" s="120"/>
      <c r="E111" s="120"/>
      <c r="F111" s="120"/>
      <c r="G111" s="120"/>
      <c r="H111" s="120"/>
      <c r="I111" s="120"/>
      <c r="J111" s="12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</row>
    <row r="112" spans="2:24" x14ac:dyDescent="0.35">
      <c r="B112" s="120"/>
      <c r="C112" s="120"/>
      <c r="D112" s="120"/>
      <c r="E112" s="120"/>
      <c r="F112" s="120"/>
      <c r="G112" s="120"/>
      <c r="H112" s="120"/>
      <c r="I112" s="120"/>
      <c r="J112" s="12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</row>
    <row r="113" spans="2:24" x14ac:dyDescent="0.35">
      <c r="B113" s="120"/>
      <c r="C113" s="120"/>
      <c r="D113" s="120"/>
      <c r="E113" s="120"/>
      <c r="F113" s="120"/>
      <c r="G113" s="120"/>
      <c r="H113" s="120"/>
      <c r="I113" s="120"/>
      <c r="J113" s="12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</row>
    <row r="114" spans="2:24" x14ac:dyDescent="0.35">
      <c r="B114" s="120"/>
      <c r="C114" s="120"/>
      <c r="D114" s="120"/>
      <c r="E114" s="120"/>
      <c r="F114" s="120"/>
      <c r="G114" s="120"/>
      <c r="H114" s="120"/>
      <c r="I114" s="120"/>
      <c r="J114" s="12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</row>
    <row r="115" spans="2:24" x14ac:dyDescent="0.35">
      <c r="B115" s="120"/>
      <c r="C115" s="120"/>
      <c r="D115" s="120"/>
      <c r="E115" s="120"/>
      <c r="F115" s="120"/>
      <c r="G115" s="120"/>
      <c r="H115" s="120"/>
      <c r="I115" s="120"/>
      <c r="J115" s="12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</row>
    <row r="116" spans="2:24" x14ac:dyDescent="0.35">
      <c r="B116" s="120"/>
      <c r="C116" s="120"/>
      <c r="D116" s="120"/>
      <c r="E116" s="120"/>
      <c r="F116" s="120"/>
      <c r="G116" s="120"/>
      <c r="H116" s="120"/>
      <c r="I116" s="120"/>
      <c r="J116" s="12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</row>
    <row r="117" spans="2:24" x14ac:dyDescent="0.35">
      <c r="B117" s="120"/>
      <c r="C117" s="120"/>
      <c r="D117" s="120"/>
      <c r="E117" s="120"/>
      <c r="F117" s="120"/>
      <c r="G117" s="120"/>
      <c r="H117" s="120"/>
      <c r="I117" s="120"/>
      <c r="J117" s="12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</row>
    <row r="118" spans="2:24" x14ac:dyDescent="0.35">
      <c r="B118" s="120"/>
      <c r="C118" s="120"/>
      <c r="D118" s="120"/>
      <c r="E118" s="120"/>
      <c r="F118" s="120"/>
      <c r="G118" s="120"/>
      <c r="H118" s="120"/>
      <c r="I118" s="120"/>
      <c r="J118" s="12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</row>
    <row r="119" spans="2:24" x14ac:dyDescent="0.35">
      <c r="B119" s="120"/>
      <c r="C119" s="120"/>
      <c r="D119" s="120"/>
      <c r="E119" s="120"/>
      <c r="F119" s="120"/>
      <c r="G119" s="120"/>
      <c r="H119" s="120"/>
      <c r="I119" s="120"/>
      <c r="J119" s="12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</row>
    <row r="120" spans="2:24" x14ac:dyDescent="0.35">
      <c r="B120" s="120"/>
      <c r="C120" s="120"/>
      <c r="D120" s="120"/>
      <c r="E120" s="120"/>
      <c r="F120" s="120"/>
      <c r="G120" s="120"/>
      <c r="H120" s="120"/>
      <c r="I120" s="120"/>
      <c r="J120" s="12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</row>
    <row r="121" spans="2:24" x14ac:dyDescent="0.35">
      <c r="B121" s="120"/>
      <c r="C121" s="120"/>
      <c r="D121" s="120"/>
      <c r="E121" s="120"/>
      <c r="F121" s="120"/>
      <c r="G121" s="120"/>
      <c r="H121" s="120"/>
      <c r="I121" s="120"/>
      <c r="J121" s="12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</row>
    <row r="122" spans="2:24" x14ac:dyDescent="0.35">
      <c r="B122" s="120"/>
      <c r="C122" s="120"/>
      <c r="D122" s="120"/>
      <c r="E122" s="120"/>
      <c r="F122" s="120"/>
      <c r="G122" s="120"/>
      <c r="H122" s="120"/>
      <c r="I122" s="120"/>
      <c r="J122" s="12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</row>
    <row r="123" spans="2:24" x14ac:dyDescent="0.35">
      <c r="B123" s="120"/>
      <c r="C123" s="120"/>
      <c r="D123" s="120"/>
      <c r="E123" s="120"/>
      <c r="F123" s="120"/>
      <c r="G123" s="120"/>
      <c r="H123" s="120"/>
      <c r="I123" s="120"/>
      <c r="J123" s="12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</row>
    <row r="124" spans="2:24" x14ac:dyDescent="0.35">
      <c r="B124" s="120"/>
      <c r="C124" s="120"/>
      <c r="D124" s="120"/>
      <c r="E124" s="120"/>
      <c r="F124" s="120"/>
      <c r="G124" s="120"/>
      <c r="H124" s="120"/>
      <c r="I124" s="120"/>
      <c r="J124" s="12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</row>
    <row r="125" spans="2:24" x14ac:dyDescent="0.35">
      <c r="B125" s="120"/>
      <c r="C125" s="120"/>
      <c r="D125" s="120"/>
      <c r="E125" s="120"/>
      <c r="F125" s="120"/>
      <c r="G125" s="120"/>
      <c r="H125" s="120"/>
      <c r="I125" s="120"/>
      <c r="J125" s="12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</row>
    <row r="126" spans="2:24" x14ac:dyDescent="0.35">
      <c r="B126" s="120"/>
      <c r="C126" s="120"/>
      <c r="D126" s="120"/>
      <c r="E126" s="120"/>
      <c r="F126" s="120"/>
      <c r="G126" s="120"/>
      <c r="H126" s="120"/>
      <c r="I126" s="120"/>
      <c r="J126" s="12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</row>
    <row r="127" spans="2:24" x14ac:dyDescent="0.35">
      <c r="B127" s="120"/>
      <c r="C127" s="120"/>
      <c r="D127" s="120"/>
      <c r="E127" s="120"/>
      <c r="F127" s="120"/>
      <c r="G127" s="120"/>
      <c r="H127" s="120"/>
      <c r="I127" s="120"/>
      <c r="J127" s="12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</row>
    <row r="128" spans="2:24" x14ac:dyDescent="0.35">
      <c r="B128" s="120"/>
      <c r="C128" s="120"/>
      <c r="D128" s="120"/>
      <c r="E128" s="120"/>
      <c r="F128" s="120"/>
      <c r="G128" s="120"/>
      <c r="H128" s="120"/>
      <c r="I128" s="120"/>
      <c r="J128" s="12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</row>
    <row r="129" spans="2:24" x14ac:dyDescent="0.35">
      <c r="B129" s="120"/>
      <c r="C129" s="120"/>
      <c r="D129" s="120"/>
      <c r="E129" s="120"/>
      <c r="F129" s="120"/>
      <c r="G129" s="120"/>
      <c r="H129" s="120"/>
      <c r="I129" s="120"/>
      <c r="J129" s="12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</row>
    <row r="130" spans="2:24" x14ac:dyDescent="0.35">
      <c r="B130" s="120"/>
      <c r="C130" s="120"/>
      <c r="D130" s="120"/>
      <c r="E130" s="120"/>
      <c r="F130" s="120"/>
      <c r="G130" s="120"/>
      <c r="H130" s="120"/>
      <c r="I130" s="120"/>
      <c r="J130" s="12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</row>
    <row r="131" spans="2:24" x14ac:dyDescent="0.35">
      <c r="B131" s="120"/>
      <c r="C131" s="120"/>
      <c r="D131" s="120"/>
      <c r="E131" s="120"/>
      <c r="F131" s="120"/>
      <c r="G131" s="120"/>
      <c r="H131" s="120"/>
      <c r="I131" s="120"/>
      <c r="J131" s="12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</row>
    <row r="132" spans="2:24" x14ac:dyDescent="0.35">
      <c r="B132" s="120"/>
      <c r="C132" s="120"/>
      <c r="D132" s="120"/>
      <c r="E132" s="120"/>
      <c r="F132" s="120"/>
      <c r="G132" s="120"/>
      <c r="H132" s="120"/>
      <c r="I132" s="120"/>
      <c r="J132" s="12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</row>
    <row r="133" spans="2:24" x14ac:dyDescent="0.35">
      <c r="B133" s="120"/>
      <c r="C133" s="120"/>
      <c r="D133" s="120"/>
      <c r="E133" s="120"/>
      <c r="F133" s="120"/>
      <c r="G133" s="120"/>
      <c r="H133" s="120"/>
      <c r="I133" s="120"/>
      <c r="J133" s="12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</row>
    <row r="134" spans="2:24" x14ac:dyDescent="0.35">
      <c r="B134" s="120"/>
      <c r="C134" s="120"/>
      <c r="D134" s="120"/>
      <c r="E134" s="120"/>
      <c r="F134" s="120"/>
      <c r="G134" s="120"/>
      <c r="H134" s="120"/>
      <c r="I134" s="120"/>
      <c r="J134" s="12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</row>
    <row r="135" spans="2:24" x14ac:dyDescent="0.35">
      <c r="B135" s="120"/>
      <c r="C135" s="120"/>
      <c r="D135" s="120"/>
      <c r="E135" s="120"/>
      <c r="F135" s="120"/>
      <c r="G135" s="120"/>
      <c r="H135" s="120"/>
      <c r="I135" s="120"/>
      <c r="J135" s="12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</row>
    <row r="136" spans="2:24" x14ac:dyDescent="0.35">
      <c r="B136" s="120"/>
      <c r="C136" s="120"/>
      <c r="D136" s="120"/>
      <c r="E136" s="120"/>
      <c r="F136" s="120"/>
      <c r="G136" s="120"/>
      <c r="H136" s="120"/>
      <c r="I136" s="120"/>
      <c r="J136" s="12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</row>
    <row r="137" spans="2:24" x14ac:dyDescent="0.35">
      <c r="B137" s="120"/>
      <c r="C137" s="120"/>
      <c r="D137" s="120"/>
      <c r="E137" s="120"/>
      <c r="F137" s="120"/>
      <c r="G137" s="120"/>
      <c r="H137" s="120"/>
      <c r="I137" s="120"/>
      <c r="J137" s="12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</row>
    <row r="138" spans="2:24" x14ac:dyDescent="0.35">
      <c r="B138" s="120"/>
      <c r="C138" s="120"/>
      <c r="D138" s="120"/>
      <c r="E138" s="120"/>
      <c r="F138" s="120"/>
      <c r="G138" s="120"/>
      <c r="H138" s="120"/>
      <c r="I138" s="120"/>
      <c r="J138" s="12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</row>
    <row r="139" spans="2:24" x14ac:dyDescent="0.35">
      <c r="B139" s="120"/>
      <c r="C139" s="120"/>
      <c r="D139" s="120"/>
      <c r="E139" s="120"/>
      <c r="F139" s="120"/>
      <c r="G139" s="120"/>
      <c r="H139" s="120"/>
      <c r="I139" s="120"/>
      <c r="J139" s="12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</row>
    <row r="140" spans="2:24" x14ac:dyDescent="0.35">
      <c r="B140" s="120"/>
      <c r="C140" s="120"/>
      <c r="D140" s="120"/>
      <c r="E140" s="120"/>
      <c r="F140" s="120"/>
      <c r="G140" s="120"/>
      <c r="H140" s="120"/>
      <c r="I140" s="120"/>
      <c r="J140" s="12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</row>
    <row r="141" spans="2:24" x14ac:dyDescent="0.35">
      <c r="B141" s="120"/>
      <c r="C141" s="120"/>
      <c r="D141" s="120"/>
      <c r="E141" s="120"/>
      <c r="F141" s="120"/>
      <c r="G141" s="120"/>
      <c r="H141" s="120"/>
      <c r="I141" s="120"/>
      <c r="J141" s="12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</row>
    <row r="142" spans="2:24" x14ac:dyDescent="0.35">
      <c r="B142" s="120"/>
      <c r="C142" s="120"/>
      <c r="D142" s="120"/>
      <c r="E142" s="120"/>
      <c r="F142" s="120"/>
      <c r="G142" s="120"/>
      <c r="H142" s="120"/>
      <c r="I142" s="120"/>
      <c r="J142" s="12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</row>
    <row r="143" spans="2:24" x14ac:dyDescent="0.35">
      <c r="B143" s="120"/>
      <c r="C143" s="120"/>
      <c r="D143" s="120"/>
      <c r="E143" s="120"/>
      <c r="F143" s="120"/>
      <c r="G143" s="120"/>
      <c r="H143" s="120"/>
      <c r="I143" s="120"/>
      <c r="J143" s="12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</row>
    <row r="144" spans="2:24" x14ac:dyDescent="0.35">
      <c r="B144" s="120"/>
      <c r="C144" s="120"/>
      <c r="D144" s="120"/>
      <c r="E144" s="120"/>
      <c r="F144" s="120"/>
      <c r="G144" s="120"/>
      <c r="H144" s="120"/>
      <c r="I144" s="120"/>
      <c r="J144" s="12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</row>
    <row r="145" spans="2:24" x14ac:dyDescent="0.35">
      <c r="B145" s="120"/>
      <c r="C145" s="120"/>
      <c r="D145" s="120"/>
      <c r="E145" s="120"/>
      <c r="F145" s="120"/>
      <c r="G145" s="120"/>
      <c r="H145" s="120"/>
      <c r="I145" s="120"/>
      <c r="J145" s="12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</row>
    <row r="146" spans="2:24" x14ac:dyDescent="0.35">
      <c r="B146" s="120"/>
      <c r="C146" s="120"/>
      <c r="D146" s="120"/>
      <c r="E146" s="120"/>
      <c r="F146" s="120"/>
      <c r="G146" s="120"/>
      <c r="H146" s="120"/>
      <c r="I146" s="120"/>
      <c r="J146" s="12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</row>
    <row r="147" spans="2:24" x14ac:dyDescent="0.35">
      <c r="B147" s="120"/>
      <c r="C147" s="120"/>
      <c r="D147" s="120"/>
      <c r="E147" s="120"/>
      <c r="F147" s="120"/>
      <c r="G147" s="120"/>
      <c r="H147" s="120"/>
      <c r="I147" s="120"/>
      <c r="J147" s="12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</row>
    <row r="148" spans="2:24" x14ac:dyDescent="0.35">
      <c r="B148" s="120"/>
      <c r="C148" s="120"/>
      <c r="D148" s="120"/>
      <c r="E148" s="120"/>
      <c r="F148" s="120"/>
      <c r="G148" s="120"/>
      <c r="H148" s="120"/>
      <c r="I148" s="120"/>
      <c r="J148" s="12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</row>
    <row r="149" spans="2:24" x14ac:dyDescent="0.35">
      <c r="B149" s="120"/>
      <c r="C149" s="120"/>
      <c r="D149" s="120"/>
      <c r="E149" s="120"/>
      <c r="F149" s="120"/>
      <c r="G149" s="120"/>
      <c r="H149" s="120"/>
      <c r="I149" s="120"/>
      <c r="J149" s="12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</row>
    <row r="150" spans="2:24" x14ac:dyDescent="0.35">
      <c r="B150" s="120"/>
      <c r="C150" s="120"/>
      <c r="D150" s="120"/>
      <c r="E150" s="120"/>
      <c r="F150" s="120"/>
      <c r="G150" s="120"/>
      <c r="H150" s="120"/>
      <c r="I150" s="120"/>
      <c r="J150" s="12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</row>
    <row r="151" spans="2:24" x14ac:dyDescent="0.35">
      <c r="B151" s="120"/>
      <c r="C151" s="120"/>
      <c r="D151" s="120"/>
      <c r="E151" s="120"/>
      <c r="F151" s="120"/>
      <c r="G151" s="120"/>
      <c r="H151" s="120"/>
      <c r="I151" s="120"/>
      <c r="J151" s="12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</row>
    <row r="152" spans="2:24" x14ac:dyDescent="0.35">
      <c r="B152" s="120"/>
      <c r="C152" s="120"/>
      <c r="D152" s="120"/>
      <c r="E152" s="120"/>
      <c r="F152" s="120"/>
      <c r="G152" s="120"/>
      <c r="H152" s="120"/>
      <c r="I152" s="120"/>
      <c r="J152" s="12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</row>
    <row r="153" spans="2:24" x14ac:dyDescent="0.35">
      <c r="B153" s="120"/>
      <c r="C153" s="120"/>
      <c r="D153" s="120"/>
      <c r="E153" s="120"/>
      <c r="F153" s="120"/>
      <c r="G153" s="120"/>
      <c r="H153" s="120"/>
      <c r="I153" s="120"/>
      <c r="J153" s="12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</row>
    <row r="154" spans="2:24" x14ac:dyDescent="0.35">
      <c r="B154" s="120"/>
      <c r="C154" s="120"/>
      <c r="D154" s="120"/>
      <c r="E154" s="120"/>
      <c r="F154" s="120"/>
      <c r="G154" s="120"/>
      <c r="H154" s="120"/>
      <c r="I154" s="120"/>
      <c r="J154" s="12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</row>
    <row r="155" spans="2:24" x14ac:dyDescent="0.35">
      <c r="B155" s="120"/>
      <c r="C155" s="120"/>
      <c r="D155" s="120"/>
      <c r="E155" s="120"/>
      <c r="F155" s="120"/>
      <c r="G155" s="120"/>
      <c r="H155" s="120"/>
      <c r="I155" s="120"/>
      <c r="J155" s="12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</row>
    <row r="156" spans="2:24" x14ac:dyDescent="0.35">
      <c r="B156" s="120"/>
      <c r="C156" s="120"/>
      <c r="D156" s="120"/>
      <c r="E156" s="120"/>
      <c r="F156" s="120"/>
      <c r="G156" s="120"/>
      <c r="H156" s="120"/>
      <c r="I156" s="120"/>
      <c r="J156" s="12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</row>
    <row r="157" spans="2:24" x14ac:dyDescent="0.35">
      <c r="B157" s="120"/>
      <c r="C157" s="120"/>
      <c r="D157" s="120"/>
      <c r="E157" s="120"/>
      <c r="F157" s="120"/>
      <c r="G157" s="120"/>
      <c r="H157" s="120"/>
      <c r="I157" s="120"/>
      <c r="J157" s="12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</row>
    <row r="158" spans="2:24" x14ac:dyDescent="0.35">
      <c r="B158" s="120"/>
      <c r="C158" s="120"/>
      <c r="D158" s="120"/>
      <c r="E158" s="120"/>
      <c r="F158" s="120"/>
      <c r="G158" s="120"/>
      <c r="H158" s="120"/>
      <c r="I158" s="120"/>
      <c r="J158" s="12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</row>
    <row r="159" spans="2:24" x14ac:dyDescent="0.35">
      <c r="B159" s="120"/>
      <c r="C159" s="120"/>
      <c r="D159" s="120"/>
      <c r="E159" s="120"/>
      <c r="F159" s="120"/>
      <c r="G159" s="120"/>
      <c r="H159" s="120"/>
      <c r="I159" s="120"/>
      <c r="J159" s="12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</row>
    <row r="160" spans="2:24" x14ac:dyDescent="0.35">
      <c r="B160" s="120"/>
      <c r="C160" s="120"/>
      <c r="D160" s="120"/>
      <c r="E160" s="120"/>
      <c r="F160" s="120"/>
      <c r="G160" s="120"/>
      <c r="H160" s="120"/>
      <c r="I160" s="120"/>
      <c r="J160" s="12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</row>
    <row r="161" spans="2:24" x14ac:dyDescent="0.35">
      <c r="B161" s="120"/>
      <c r="C161" s="120"/>
      <c r="D161" s="120"/>
      <c r="E161" s="120"/>
      <c r="F161" s="120"/>
      <c r="G161" s="120"/>
      <c r="H161" s="120"/>
      <c r="I161" s="120"/>
      <c r="J161" s="12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</row>
    <row r="162" spans="2:24" x14ac:dyDescent="0.35">
      <c r="B162" s="120"/>
      <c r="C162" s="120"/>
      <c r="D162" s="120"/>
      <c r="E162" s="120"/>
      <c r="F162" s="120"/>
      <c r="G162" s="120"/>
      <c r="H162" s="120"/>
      <c r="I162" s="120"/>
      <c r="J162" s="12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</row>
    <row r="163" spans="2:24" x14ac:dyDescent="0.35">
      <c r="B163" s="120"/>
      <c r="C163" s="120"/>
      <c r="D163" s="120"/>
      <c r="E163" s="120"/>
      <c r="F163" s="120"/>
      <c r="G163" s="120"/>
      <c r="H163" s="120"/>
      <c r="I163" s="120"/>
      <c r="J163" s="12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</row>
    <row r="164" spans="2:24" x14ac:dyDescent="0.35">
      <c r="B164" s="120"/>
      <c r="C164" s="120"/>
      <c r="D164" s="120"/>
      <c r="E164" s="120"/>
      <c r="F164" s="120"/>
      <c r="G164" s="120"/>
      <c r="H164" s="120"/>
      <c r="I164" s="120"/>
      <c r="J164" s="12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</row>
    <row r="165" spans="2:24" x14ac:dyDescent="0.35">
      <c r="B165" s="120"/>
      <c r="C165" s="120"/>
      <c r="D165" s="120"/>
      <c r="E165" s="120"/>
      <c r="F165" s="120"/>
      <c r="G165" s="120"/>
      <c r="H165" s="120"/>
      <c r="I165" s="120"/>
      <c r="J165" s="12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</row>
    <row r="166" spans="2:24" x14ac:dyDescent="0.35">
      <c r="B166" s="120"/>
      <c r="C166" s="120"/>
      <c r="D166" s="120"/>
      <c r="E166" s="120"/>
      <c r="F166" s="120"/>
      <c r="G166" s="120"/>
      <c r="H166" s="120"/>
      <c r="I166" s="120"/>
      <c r="J166" s="12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</row>
    <row r="167" spans="2:24" x14ac:dyDescent="0.35">
      <c r="B167" s="120"/>
      <c r="C167" s="120"/>
      <c r="D167" s="120"/>
      <c r="E167" s="120"/>
      <c r="F167" s="120"/>
      <c r="G167" s="120"/>
      <c r="H167" s="120"/>
      <c r="I167" s="120"/>
      <c r="J167" s="12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</row>
    <row r="168" spans="2:24" x14ac:dyDescent="0.35">
      <c r="B168" s="120"/>
      <c r="C168" s="120"/>
      <c r="D168" s="120"/>
      <c r="E168" s="120"/>
      <c r="F168" s="120"/>
      <c r="G168" s="120"/>
      <c r="H168" s="120"/>
      <c r="I168" s="120"/>
      <c r="J168" s="12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</row>
    <row r="169" spans="2:24" x14ac:dyDescent="0.35">
      <c r="B169" s="120"/>
      <c r="C169" s="120"/>
      <c r="D169" s="120"/>
      <c r="E169" s="120"/>
      <c r="F169" s="120"/>
      <c r="G169" s="120"/>
      <c r="H169" s="120"/>
      <c r="I169" s="120"/>
      <c r="J169" s="12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</row>
    <row r="170" spans="2:24" x14ac:dyDescent="0.35">
      <c r="B170" s="120"/>
      <c r="C170" s="120"/>
      <c r="D170" s="120"/>
      <c r="E170" s="120"/>
      <c r="F170" s="120"/>
      <c r="G170" s="120"/>
      <c r="H170" s="120"/>
      <c r="I170" s="120"/>
      <c r="J170" s="12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</row>
    <row r="171" spans="2:24" x14ac:dyDescent="0.35">
      <c r="B171" s="120"/>
      <c r="C171" s="120"/>
      <c r="D171" s="120"/>
      <c r="E171" s="120"/>
      <c r="F171" s="120"/>
      <c r="G171" s="120"/>
      <c r="H171" s="120"/>
      <c r="I171" s="120"/>
      <c r="J171" s="12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</row>
    <row r="172" spans="2:24" x14ac:dyDescent="0.35">
      <c r="B172" s="120"/>
      <c r="C172" s="120"/>
      <c r="D172" s="120"/>
      <c r="E172" s="120"/>
      <c r="F172" s="120"/>
      <c r="G172" s="120"/>
      <c r="H172" s="120"/>
      <c r="I172" s="120"/>
      <c r="J172" s="12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</row>
    <row r="173" spans="2:24" x14ac:dyDescent="0.35">
      <c r="B173" s="120"/>
      <c r="C173" s="120"/>
      <c r="D173" s="120"/>
      <c r="E173" s="120"/>
      <c r="F173" s="120"/>
      <c r="G173" s="120"/>
      <c r="H173" s="120"/>
      <c r="I173" s="120"/>
      <c r="J173" s="12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</row>
    <row r="174" spans="2:24" x14ac:dyDescent="0.35">
      <c r="B174" s="120"/>
      <c r="C174" s="120"/>
      <c r="D174" s="120"/>
      <c r="E174" s="120"/>
      <c r="F174" s="120"/>
      <c r="G174" s="120"/>
      <c r="H174" s="120"/>
      <c r="I174" s="120"/>
      <c r="J174" s="12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</row>
    <row r="175" spans="2:24" x14ac:dyDescent="0.35">
      <c r="B175" s="120"/>
      <c r="C175" s="120"/>
      <c r="D175" s="120"/>
      <c r="E175" s="120"/>
      <c r="F175" s="120"/>
      <c r="G175" s="120"/>
      <c r="H175" s="120"/>
      <c r="I175" s="120"/>
      <c r="J175" s="12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</row>
    <row r="176" spans="2:24" x14ac:dyDescent="0.35">
      <c r="B176" s="120"/>
      <c r="C176" s="120"/>
      <c r="D176" s="120"/>
      <c r="E176" s="120"/>
      <c r="F176" s="120"/>
      <c r="G176" s="120"/>
      <c r="H176" s="120"/>
      <c r="I176" s="120"/>
      <c r="J176" s="12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</row>
    <row r="177" spans="2:24" x14ac:dyDescent="0.35">
      <c r="B177" s="120"/>
      <c r="C177" s="120"/>
      <c r="D177" s="120"/>
      <c r="E177" s="120"/>
      <c r="F177" s="120"/>
      <c r="G177" s="120"/>
      <c r="H177" s="120"/>
      <c r="I177" s="120"/>
      <c r="J177" s="12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</row>
    <row r="178" spans="2:24" x14ac:dyDescent="0.35">
      <c r="B178" s="120"/>
      <c r="C178" s="120"/>
      <c r="D178" s="120"/>
      <c r="E178" s="120"/>
      <c r="F178" s="120"/>
      <c r="G178" s="120"/>
      <c r="H178" s="120"/>
      <c r="I178" s="120"/>
      <c r="J178" s="12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</row>
    <row r="179" spans="2:24" x14ac:dyDescent="0.35">
      <c r="B179" s="120"/>
      <c r="C179" s="120"/>
      <c r="D179" s="120"/>
      <c r="E179" s="120"/>
      <c r="F179" s="120"/>
      <c r="G179" s="120"/>
      <c r="H179" s="120"/>
      <c r="I179" s="120"/>
      <c r="J179" s="12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</row>
    <row r="180" spans="2:24" x14ac:dyDescent="0.35">
      <c r="B180" s="120"/>
      <c r="C180" s="120"/>
      <c r="D180" s="120"/>
      <c r="E180" s="120"/>
      <c r="F180" s="120"/>
      <c r="G180" s="120"/>
      <c r="H180" s="120"/>
      <c r="I180" s="120"/>
      <c r="J180" s="12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</row>
    <row r="181" spans="2:24" x14ac:dyDescent="0.35">
      <c r="B181" s="120"/>
      <c r="C181" s="120"/>
      <c r="D181" s="120"/>
      <c r="E181" s="120"/>
      <c r="F181" s="120"/>
      <c r="G181" s="120"/>
      <c r="H181" s="120"/>
      <c r="I181" s="120"/>
      <c r="J181" s="12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</row>
    <row r="182" spans="2:24" x14ac:dyDescent="0.35">
      <c r="B182" s="120"/>
      <c r="C182" s="120"/>
      <c r="D182" s="120"/>
      <c r="E182" s="120"/>
      <c r="F182" s="120"/>
      <c r="G182" s="120"/>
      <c r="H182" s="120"/>
      <c r="I182" s="120"/>
      <c r="J182" s="12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</row>
    <row r="183" spans="2:24" x14ac:dyDescent="0.35">
      <c r="B183" s="120"/>
      <c r="C183" s="120"/>
      <c r="D183" s="120"/>
      <c r="E183" s="120"/>
      <c r="F183" s="120"/>
      <c r="G183" s="120"/>
      <c r="H183" s="120"/>
      <c r="I183" s="120"/>
      <c r="J183" s="12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</row>
    <row r="184" spans="2:24" x14ac:dyDescent="0.35">
      <c r="B184" s="120"/>
      <c r="C184" s="120"/>
      <c r="D184" s="120"/>
      <c r="E184" s="120"/>
      <c r="F184" s="120"/>
      <c r="G184" s="120"/>
      <c r="H184" s="120"/>
      <c r="I184" s="120"/>
      <c r="J184" s="12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</row>
    <row r="185" spans="2:24" x14ac:dyDescent="0.35">
      <c r="B185" s="120"/>
      <c r="C185" s="120"/>
      <c r="D185" s="120"/>
      <c r="E185" s="120"/>
      <c r="F185" s="120"/>
      <c r="G185" s="120"/>
      <c r="H185" s="120"/>
      <c r="I185" s="120"/>
      <c r="J185" s="12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</row>
    <row r="186" spans="2:24" x14ac:dyDescent="0.35">
      <c r="B186" s="120"/>
      <c r="C186" s="120"/>
      <c r="D186" s="120"/>
      <c r="E186" s="120"/>
      <c r="F186" s="120"/>
      <c r="G186" s="120"/>
      <c r="H186" s="120"/>
      <c r="I186" s="120"/>
      <c r="J186" s="12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</row>
    <row r="187" spans="2:24" x14ac:dyDescent="0.35">
      <c r="B187" s="120"/>
      <c r="C187" s="120"/>
      <c r="D187" s="120"/>
      <c r="E187" s="120"/>
      <c r="F187" s="120"/>
      <c r="G187" s="120"/>
      <c r="H187" s="120"/>
      <c r="I187" s="120"/>
      <c r="J187" s="12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</row>
    <row r="188" spans="2:24" x14ac:dyDescent="0.35">
      <c r="B188" s="120"/>
      <c r="C188" s="120"/>
      <c r="D188" s="120"/>
      <c r="E188" s="120"/>
      <c r="F188" s="120"/>
      <c r="G188" s="120"/>
      <c r="H188" s="120"/>
      <c r="I188" s="120"/>
      <c r="J188" s="12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</row>
    <row r="189" spans="2:24" x14ac:dyDescent="0.35">
      <c r="B189" s="120"/>
      <c r="C189" s="120"/>
      <c r="D189" s="120"/>
      <c r="E189" s="120"/>
      <c r="F189" s="120"/>
      <c r="G189" s="120"/>
      <c r="H189" s="120"/>
      <c r="I189" s="120"/>
      <c r="J189" s="12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</row>
    <row r="190" spans="2:24" x14ac:dyDescent="0.35">
      <c r="B190" s="120"/>
      <c r="C190" s="120"/>
      <c r="D190" s="120"/>
      <c r="E190" s="120"/>
      <c r="F190" s="120"/>
      <c r="G190" s="120"/>
      <c r="H190" s="120"/>
      <c r="I190" s="120"/>
      <c r="J190" s="12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</row>
    <row r="191" spans="2:24" x14ac:dyDescent="0.35">
      <c r="B191" s="120"/>
      <c r="C191" s="120"/>
      <c r="D191" s="120"/>
      <c r="E191" s="120"/>
      <c r="F191" s="120"/>
      <c r="G191" s="120"/>
      <c r="H191" s="120"/>
      <c r="I191" s="120"/>
      <c r="J191" s="12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</row>
    <row r="192" spans="2:24" x14ac:dyDescent="0.35">
      <c r="B192" s="120"/>
      <c r="C192" s="120"/>
      <c r="D192" s="120"/>
      <c r="E192" s="120"/>
      <c r="F192" s="120"/>
      <c r="G192" s="120"/>
      <c r="H192" s="120"/>
      <c r="I192" s="120"/>
      <c r="J192" s="12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</row>
    <row r="193" spans="2:24" x14ac:dyDescent="0.35">
      <c r="B193" s="120"/>
      <c r="C193" s="120"/>
      <c r="D193" s="120"/>
      <c r="E193" s="120"/>
      <c r="F193" s="120"/>
      <c r="G193" s="120"/>
      <c r="H193" s="120"/>
      <c r="I193" s="120"/>
      <c r="J193" s="12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</row>
    <row r="194" spans="2:24" x14ac:dyDescent="0.35">
      <c r="B194" s="120"/>
      <c r="C194" s="120"/>
      <c r="D194" s="120"/>
      <c r="E194" s="120"/>
      <c r="F194" s="120"/>
      <c r="G194" s="120"/>
      <c r="H194" s="120"/>
      <c r="I194" s="120"/>
      <c r="J194" s="12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</row>
    <row r="195" spans="2:24" x14ac:dyDescent="0.35">
      <c r="B195" s="120"/>
      <c r="C195" s="120"/>
      <c r="D195" s="120"/>
      <c r="E195" s="120"/>
      <c r="F195" s="120"/>
      <c r="G195" s="120"/>
      <c r="H195" s="120"/>
      <c r="I195" s="120"/>
      <c r="J195" s="12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</row>
    <row r="196" spans="2:24" x14ac:dyDescent="0.35">
      <c r="B196" s="120"/>
      <c r="C196" s="120"/>
      <c r="D196" s="120"/>
      <c r="E196" s="120"/>
      <c r="F196" s="120"/>
      <c r="G196" s="120"/>
      <c r="H196" s="120"/>
      <c r="I196" s="120"/>
      <c r="J196" s="12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</row>
    <row r="197" spans="2:24" x14ac:dyDescent="0.35">
      <c r="B197" s="120"/>
      <c r="C197" s="120"/>
      <c r="D197" s="120"/>
      <c r="E197" s="120"/>
      <c r="F197" s="120"/>
      <c r="G197" s="120"/>
      <c r="H197" s="120"/>
      <c r="I197" s="120"/>
      <c r="J197" s="12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</row>
    <row r="198" spans="2:24" x14ac:dyDescent="0.35">
      <c r="B198" s="120"/>
      <c r="C198" s="120"/>
      <c r="D198" s="120"/>
      <c r="E198" s="120"/>
      <c r="F198" s="120"/>
      <c r="G198" s="120"/>
      <c r="H198" s="120"/>
      <c r="I198" s="120"/>
      <c r="J198" s="12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</row>
    <row r="199" spans="2:24" x14ac:dyDescent="0.35">
      <c r="B199" s="120"/>
      <c r="C199" s="120"/>
      <c r="D199" s="120"/>
      <c r="E199" s="120"/>
      <c r="F199" s="120"/>
      <c r="G199" s="120"/>
      <c r="H199" s="120"/>
      <c r="I199" s="120"/>
      <c r="J199" s="12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</row>
    <row r="200" spans="2:24" x14ac:dyDescent="0.35">
      <c r="B200" s="120"/>
      <c r="C200" s="120"/>
      <c r="D200" s="120"/>
      <c r="E200" s="120"/>
      <c r="F200" s="120"/>
      <c r="G200" s="120"/>
      <c r="H200" s="120"/>
      <c r="I200" s="120"/>
      <c r="J200" s="12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</row>
    <row r="201" spans="2:24" x14ac:dyDescent="0.35">
      <c r="B201" s="120"/>
      <c r="C201" s="120"/>
      <c r="D201" s="120"/>
      <c r="E201" s="120"/>
      <c r="F201" s="120"/>
      <c r="G201" s="120"/>
      <c r="H201" s="120"/>
      <c r="I201" s="120"/>
      <c r="J201" s="12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</row>
    <row r="202" spans="2:24" x14ac:dyDescent="0.35">
      <c r="B202" s="120"/>
      <c r="C202" s="120"/>
      <c r="D202" s="120"/>
      <c r="E202" s="120"/>
      <c r="F202" s="120"/>
      <c r="G202" s="120"/>
      <c r="H202" s="120"/>
      <c r="I202" s="120"/>
      <c r="J202" s="12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</row>
    <row r="203" spans="2:24" x14ac:dyDescent="0.35">
      <c r="B203" s="120"/>
      <c r="C203" s="120"/>
      <c r="D203" s="120"/>
      <c r="E203" s="120"/>
      <c r="F203" s="120"/>
      <c r="G203" s="120"/>
      <c r="H203" s="120"/>
      <c r="I203" s="120"/>
      <c r="J203" s="12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</row>
    <row r="204" spans="2:24" x14ac:dyDescent="0.35">
      <c r="B204" s="120"/>
      <c r="C204" s="120"/>
      <c r="D204" s="120"/>
      <c r="E204" s="120"/>
      <c r="F204" s="120"/>
      <c r="G204" s="120"/>
      <c r="H204" s="120"/>
      <c r="I204" s="120"/>
      <c r="J204" s="12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</row>
    <row r="205" spans="2:24" x14ac:dyDescent="0.35">
      <c r="B205" s="120"/>
      <c r="C205" s="120"/>
      <c r="D205" s="120"/>
      <c r="E205" s="120"/>
      <c r="F205" s="120"/>
      <c r="G205" s="120"/>
      <c r="H205" s="120"/>
      <c r="I205" s="120"/>
      <c r="J205" s="12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</row>
    <row r="206" spans="2:24" x14ac:dyDescent="0.35">
      <c r="B206" s="120"/>
      <c r="C206" s="120"/>
      <c r="D206" s="120"/>
      <c r="E206" s="120"/>
      <c r="F206" s="120"/>
      <c r="G206" s="120"/>
      <c r="H206" s="120"/>
      <c r="I206" s="120"/>
      <c r="J206" s="12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</row>
    <row r="207" spans="2:24" x14ac:dyDescent="0.35">
      <c r="B207" s="120"/>
      <c r="C207" s="120"/>
      <c r="D207" s="120"/>
      <c r="E207" s="120"/>
      <c r="F207" s="120"/>
      <c r="G207" s="120"/>
      <c r="H207" s="120"/>
      <c r="I207" s="120"/>
      <c r="J207" s="12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</row>
    <row r="208" spans="2:24" x14ac:dyDescent="0.35">
      <c r="B208" s="120"/>
      <c r="C208" s="120"/>
      <c r="D208" s="120"/>
      <c r="E208" s="120"/>
      <c r="F208" s="120"/>
      <c r="G208" s="120"/>
      <c r="H208" s="120"/>
      <c r="I208" s="120"/>
      <c r="J208" s="12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</row>
    <row r="209" spans="2:24" x14ac:dyDescent="0.35">
      <c r="B209" s="120"/>
      <c r="C209" s="120"/>
      <c r="D209" s="120"/>
      <c r="E209" s="120"/>
      <c r="F209" s="120"/>
      <c r="G209" s="120"/>
      <c r="H209" s="120"/>
      <c r="I209" s="120"/>
      <c r="J209" s="12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</row>
    <row r="210" spans="2:24" x14ac:dyDescent="0.35">
      <c r="B210" s="120"/>
      <c r="C210" s="120"/>
      <c r="D210" s="120"/>
      <c r="E210" s="120"/>
      <c r="F210" s="120"/>
      <c r="G210" s="120"/>
      <c r="H210" s="120"/>
      <c r="I210" s="120"/>
      <c r="J210" s="12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</row>
    <row r="211" spans="2:24" x14ac:dyDescent="0.35">
      <c r="B211" s="120"/>
      <c r="C211" s="120"/>
      <c r="D211" s="120"/>
      <c r="E211" s="120"/>
      <c r="F211" s="120"/>
      <c r="G211" s="120"/>
      <c r="H211" s="120"/>
      <c r="I211" s="120"/>
      <c r="J211" s="12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</row>
    <row r="212" spans="2:24" x14ac:dyDescent="0.35">
      <c r="B212" s="120"/>
      <c r="C212" s="120"/>
      <c r="D212" s="120"/>
      <c r="E212" s="120"/>
      <c r="F212" s="120"/>
      <c r="G212" s="120"/>
      <c r="H212" s="120"/>
      <c r="I212" s="120"/>
      <c r="J212" s="12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</row>
    <row r="213" spans="2:24" x14ac:dyDescent="0.35">
      <c r="B213" s="120"/>
      <c r="C213" s="120"/>
      <c r="D213" s="120"/>
      <c r="E213" s="120"/>
      <c r="F213" s="120"/>
      <c r="G213" s="120"/>
      <c r="H213" s="120"/>
      <c r="I213" s="120"/>
      <c r="J213" s="12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</row>
    <row r="214" spans="2:24" x14ac:dyDescent="0.35">
      <c r="B214" s="120"/>
      <c r="C214" s="120"/>
      <c r="D214" s="120"/>
      <c r="E214" s="120"/>
      <c r="F214" s="120"/>
      <c r="G214" s="120"/>
      <c r="H214" s="120"/>
      <c r="I214" s="120"/>
      <c r="J214" s="12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</row>
    <row r="215" spans="2:24" x14ac:dyDescent="0.35">
      <c r="B215" s="120"/>
      <c r="C215" s="120"/>
      <c r="D215" s="120"/>
      <c r="E215" s="120"/>
      <c r="F215" s="120"/>
      <c r="G215" s="120"/>
      <c r="H215" s="120"/>
      <c r="I215" s="120"/>
      <c r="J215" s="12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</row>
    <row r="216" spans="2:24" x14ac:dyDescent="0.35">
      <c r="B216" s="120"/>
      <c r="C216" s="120"/>
      <c r="D216" s="120"/>
      <c r="E216" s="120"/>
      <c r="F216" s="120"/>
      <c r="G216" s="120"/>
      <c r="H216" s="120"/>
      <c r="I216" s="120"/>
      <c r="J216" s="12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</row>
    <row r="217" spans="2:24" x14ac:dyDescent="0.35">
      <c r="B217" s="120"/>
      <c r="C217" s="120"/>
      <c r="D217" s="120"/>
      <c r="E217" s="120"/>
      <c r="F217" s="120"/>
      <c r="G217" s="120"/>
      <c r="H217" s="120"/>
      <c r="I217" s="120"/>
      <c r="J217" s="12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</row>
    <row r="218" spans="2:24" x14ac:dyDescent="0.35">
      <c r="B218" s="120"/>
      <c r="C218" s="120"/>
      <c r="D218" s="120"/>
      <c r="E218" s="120"/>
      <c r="F218" s="120"/>
      <c r="G218" s="120"/>
      <c r="H218" s="120"/>
      <c r="I218" s="120"/>
      <c r="J218" s="12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</row>
  </sheetData>
  <printOptions horizontalCentered="1"/>
  <pageMargins left="0.25" right="0.25" top="0.5" bottom="0.5" header="0.3" footer="0.3"/>
  <pageSetup scale="46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pdfPage11">
                <anchor moveWithCells="1" sizeWithCells="1">
                  <from>
                    <xdr:col>0</xdr:col>
                    <xdr:colOff>50800</xdr:colOff>
                    <xdr:row>0</xdr:row>
                    <xdr:rowOff>19050</xdr:rowOff>
                  </from>
                  <to>
                    <xdr:col>0</xdr:col>
                    <xdr:colOff>57150</xdr:colOff>
                    <xdr:row>0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7A858-5ADE-4C0B-B844-F849B8016F95}">
  <sheetPr transitionEvaluation="1" transitionEntry="1" codeName="Sheet13">
    <pageSetUpPr fitToPage="1"/>
  </sheetPr>
  <dimension ref="A1:IG82"/>
  <sheetViews>
    <sheetView defaultGridColor="0" colorId="22" zoomScale="85" zoomScaleNormal="85" zoomScaleSheetLayoutView="120" workbookViewId="0">
      <selection activeCell="G16" sqref="G16"/>
    </sheetView>
  </sheetViews>
  <sheetFormatPr defaultColWidth="9.58203125" defaultRowHeight="15.5" x14ac:dyDescent="0.35"/>
  <cols>
    <col min="1" max="1" width="40.58203125" style="9" customWidth="1"/>
    <col min="2" max="11" width="18.83203125" customWidth="1"/>
    <col min="12" max="12" width="2.5" customWidth="1"/>
    <col min="16" max="16" width="10.08203125" bestFit="1" customWidth="1"/>
  </cols>
  <sheetData>
    <row r="1" spans="1:241" s="2" customFormat="1" ht="21" x14ac:dyDescent="0.55000000000000004">
      <c r="A1" s="286" t="str">
        <f>Page_1!A1</f>
        <v>IRR 2023 Sch A-13 F.Z25.XLSM</v>
      </c>
      <c r="B1" s="273"/>
      <c r="C1" s="273"/>
      <c r="D1" s="273"/>
      <c r="E1" s="274"/>
      <c r="F1" s="275"/>
      <c r="G1" s="275"/>
      <c r="H1" s="280"/>
      <c r="I1" s="275"/>
      <c r="J1" s="275"/>
      <c r="K1" s="276"/>
      <c r="L1" s="121"/>
      <c r="M1" s="1"/>
      <c r="N1" s="1"/>
    </row>
    <row r="2" spans="1:241" s="2" customFormat="1" ht="21" x14ac:dyDescent="0.55000000000000004">
      <c r="A2" s="265" t="str">
        <f>Page_1!A2</f>
        <v>09/20/2022</v>
      </c>
      <c r="B2" s="274"/>
      <c r="C2" s="277"/>
      <c r="D2" s="277"/>
      <c r="E2" s="277"/>
      <c r="F2" s="277"/>
      <c r="G2" s="277"/>
      <c r="H2" s="277"/>
      <c r="I2" s="277"/>
      <c r="J2" s="277"/>
      <c r="K2" s="278"/>
      <c r="L2" s="122"/>
      <c r="M2" s="1"/>
      <c r="N2" s="1"/>
    </row>
    <row r="3" spans="1:241" s="2" customFormat="1" ht="21" x14ac:dyDescent="0.55000000000000004">
      <c r="A3" s="238" t="str">
        <f>Page_1!A3</f>
        <v>CENTRAL VALLEY PROJECT</v>
      </c>
      <c r="B3" s="274"/>
      <c r="C3" s="277"/>
      <c r="D3" s="277"/>
      <c r="E3" s="277"/>
      <c r="F3" s="277"/>
      <c r="G3" s="277"/>
      <c r="H3" s="277"/>
      <c r="I3" s="277"/>
      <c r="J3" s="277"/>
      <c r="K3" s="274"/>
      <c r="M3" s="1"/>
      <c r="N3" s="1"/>
    </row>
    <row r="4" spans="1:241" s="2" customFormat="1" ht="84" x14ac:dyDescent="0.55000000000000004">
      <c r="A4" s="238" t="str">
        <f>Page_1!A4</f>
        <v>SCHEDULE OF HISTORICAL (1981-2021) &amp; PROJECTED (2022-2030) IRRIGATION WATER DELIVERIES (IN ACRE FEET)</v>
      </c>
      <c r="B4" s="274"/>
      <c r="C4" s="277"/>
      <c r="D4" s="277"/>
      <c r="E4" s="277"/>
      <c r="F4" s="277"/>
      <c r="G4" s="277"/>
      <c r="H4" s="277"/>
      <c r="I4" s="277"/>
      <c r="J4" s="277"/>
      <c r="K4" s="273"/>
      <c r="L4" s="1"/>
      <c r="M4" s="1"/>
      <c r="N4" s="1"/>
    </row>
    <row r="5" spans="1:241" ht="63" x14ac:dyDescent="0.55000000000000004">
      <c r="A5" s="238" t="str">
        <f>Page_1!A5</f>
        <v>FOR CALCULATION OF INDIVIDUAL CONTRACTOR PRORATED CONSTRUCTION COSTS AND RATE</v>
      </c>
      <c r="B5" s="273"/>
      <c r="C5" s="273"/>
      <c r="D5" s="273"/>
      <c r="E5" s="273"/>
      <c r="F5" s="273"/>
      <c r="G5" s="273"/>
      <c r="H5" s="273"/>
      <c r="I5" s="273"/>
      <c r="J5" s="273"/>
      <c r="K5" s="273"/>
      <c r="L5" s="5"/>
      <c r="M5" s="5"/>
      <c r="N5" s="5"/>
    </row>
    <row r="6" spans="1:241" s="69" customFormat="1" ht="87.5" x14ac:dyDescent="0.35">
      <c r="A6" s="395" t="s">
        <v>34</v>
      </c>
      <c r="B6" s="366" t="s">
        <v>450</v>
      </c>
      <c r="C6" s="397" t="s">
        <v>451</v>
      </c>
      <c r="D6" s="399" t="s">
        <v>452</v>
      </c>
      <c r="E6" s="400" t="s">
        <v>453</v>
      </c>
      <c r="F6" s="401" t="s">
        <v>454</v>
      </c>
      <c r="G6" s="401" t="s">
        <v>455</v>
      </c>
      <c r="H6" s="401" t="s">
        <v>456</v>
      </c>
      <c r="I6" s="402" t="s">
        <v>457</v>
      </c>
      <c r="J6" s="401" t="s">
        <v>458</v>
      </c>
      <c r="K6" s="403" t="s">
        <v>459</v>
      </c>
      <c r="L6" s="68"/>
      <c r="M6" s="123"/>
      <c r="N6" s="68"/>
    </row>
    <row r="7" spans="1:241" ht="17.5" x14ac:dyDescent="0.45">
      <c r="A7" s="269" t="s">
        <v>42</v>
      </c>
      <c r="B7" s="287">
        <v>0</v>
      </c>
      <c r="C7" s="287">
        <v>0</v>
      </c>
      <c r="D7" s="287">
        <f>SUM(B7:C7)</f>
        <v>0</v>
      </c>
      <c r="E7" s="281">
        <v>10000</v>
      </c>
      <c r="F7" s="281">
        <v>5</v>
      </c>
      <c r="G7" s="281">
        <v>490</v>
      </c>
      <c r="H7" s="281">
        <v>4</v>
      </c>
      <c r="I7" s="299">
        <v>0</v>
      </c>
      <c r="J7" s="281">
        <v>84</v>
      </c>
      <c r="K7" s="281">
        <f t="shared" ref="K7:K38" si="0">SUM(E7:J7)</f>
        <v>10583</v>
      </c>
      <c r="L7" s="57"/>
      <c r="M7" s="57"/>
      <c r="N7" s="57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  <c r="ID7" s="49"/>
      <c r="IE7" s="49"/>
      <c r="IF7" s="49"/>
      <c r="IG7" s="49"/>
    </row>
    <row r="8" spans="1:241" ht="17.5" x14ac:dyDescent="0.45">
      <c r="A8" s="269" t="s">
        <v>43</v>
      </c>
      <c r="B8" s="287">
        <v>0</v>
      </c>
      <c r="C8" s="287">
        <v>0</v>
      </c>
      <c r="D8" s="287">
        <f t="shared" ref="D8:D56" si="1">SUM(B8:C8)</f>
        <v>0</v>
      </c>
      <c r="E8" s="281">
        <v>10000</v>
      </c>
      <c r="F8" s="281">
        <v>6</v>
      </c>
      <c r="G8" s="281">
        <v>160</v>
      </c>
      <c r="H8" s="281">
        <v>4</v>
      </c>
      <c r="I8" s="287">
        <v>0</v>
      </c>
      <c r="J8" s="281">
        <v>40</v>
      </c>
      <c r="K8" s="281">
        <f t="shared" si="0"/>
        <v>10210</v>
      </c>
      <c r="L8" s="57"/>
      <c r="M8" s="57"/>
      <c r="N8" s="57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  <c r="IA8" s="49"/>
      <c r="IB8" s="49"/>
      <c r="IC8" s="49"/>
      <c r="ID8" s="49"/>
      <c r="IE8" s="49"/>
      <c r="IF8" s="49"/>
      <c r="IG8" s="49"/>
    </row>
    <row r="9" spans="1:241" ht="17.5" x14ac:dyDescent="0.45">
      <c r="A9" s="269" t="s">
        <v>44</v>
      </c>
      <c r="B9" s="281">
        <v>1500</v>
      </c>
      <c r="C9" s="287">
        <v>0</v>
      </c>
      <c r="D9" s="281">
        <f t="shared" si="1"/>
        <v>1500</v>
      </c>
      <c r="E9" s="281">
        <v>10000</v>
      </c>
      <c r="F9" s="281">
        <v>13</v>
      </c>
      <c r="G9" s="281">
        <v>490</v>
      </c>
      <c r="H9" s="281">
        <v>10</v>
      </c>
      <c r="I9" s="281">
        <v>3105</v>
      </c>
      <c r="J9" s="281">
        <v>128</v>
      </c>
      <c r="K9" s="281">
        <f t="shared" si="0"/>
        <v>13746</v>
      </c>
      <c r="L9" s="57"/>
      <c r="M9" s="57"/>
      <c r="N9" s="57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</row>
    <row r="10" spans="1:241" ht="17.5" x14ac:dyDescent="0.45">
      <c r="A10" s="269" t="s">
        <v>45</v>
      </c>
      <c r="B10" s="281">
        <v>86</v>
      </c>
      <c r="C10" s="287">
        <v>0</v>
      </c>
      <c r="D10" s="281">
        <f t="shared" si="1"/>
        <v>86</v>
      </c>
      <c r="E10" s="281">
        <v>10000</v>
      </c>
      <c r="F10" s="281">
        <v>7</v>
      </c>
      <c r="G10" s="281">
        <v>490</v>
      </c>
      <c r="H10" s="281">
        <v>4</v>
      </c>
      <c r="I10" s="281">
        <v>345</v>
      </c>
      <c r="J10" s="287">
        <v>0</v>
      </c>
      <c r="K10" s="281">
        <f t="shared" si="0"/>
        <v>10846</v>
      </c>
      <c r="L10" s="57"/>
      <c r="M10" s="57"/>
      <c r="N10" s="57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</row>
    <row r="11" spans="1:241" ht="17.5" x14ac:dyDescent="0.45">
      <c r="A11" s="269" t="s">
        <v>46</v>
      </c>
      <c r="B11" s="287">
        <v>0</v>
      </c>
      <c r="C11" s="287">
        <v>0</v>
      </c>
      <c r="D11" s="287">
        <f t="shared" si="1"/>
        <v>0</v>
      </c>
      <c r="E11" s="281">
        <v>10000</v>
      </c>
      <c r="F11" s="281">
        <v>7</v>
      </c>
      <c r="G11" s="281">
        <v>490</v>
      </c>
      <c r="H11" s="281">
        <v>4</v>
      </c>
      <c r="I11" s="281">
        <v>345</v>
      </c>
      <c r="J11" s="287">
        <v>0</v>
      </c>
      <c r="K11" s="281">
        <f t="shared" si="0"/>
        <v>10846</v>
      </c>
      <c r="L11" s="57"/>
      <c r="M11" s="57"/>
      <c r="N11" s="57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</row>
    <row r="12" spans="1:241" ht="17.5" x14ac:dyDescent="0.45">
      <c r="A12" s="269" t="s">
        <v>47</v>
      </c>
      <c r="B12" s="287">
        <v>0</v>
      </c>
      <c r="C12" s="287">
        <v>0</v>
      </c>
      <c r="D12" s="287">
        <f t="shared" si="1"/>
        <v>0</v>
      </c>
      <c r="E12" s="281">
        <v>10000</v>
      </c>
      <c r="F12" s="281">
        <v>5</v>
      </c>
      <c r="G12" s="281">
        <v>490</v>
      </c>
      <c r="H12" s="281">
        <v>4</v>
      </c>
      <c r="I12" s="281">
        <v>345</v>
      </c>
      <c r="J12" s="281">
        <v>37</v>
      </c>
      <c r="K12" s="281">
        <f t="shared" si="0"/>
        <v>10881</v>
      </c>
      <c r="L12" s="57"/>
      <c r="M12" s="57"/>
      <c r="N12" s="57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</row>
    <row r="13" spans="1:241" ht="17.5" x14ac:dyDescent="0.45">
      <c r="A13" s="269" t="s">
        <v>48</v>
      </c>
      <c r="B13" s="287">
        <v>0</v>
      </c>
      <c r="C13" s="287">
        <v>0</v>
      </c>
      <c r="D13" s="287">
        <f t="shared" si="1"/>
        <v>0</v>
      </c>
      <c r="E13" s="281">
        <v>10000</v>
      </c>
      <c r="F13" s="281">
        <v>6</v>
      </c>
      <c r="G13" s="281">
        <v>160</v>
      </c>
      <c r="H13" s="281">
        <v>5</v>
      </c>
      <c r="I13" s="281">
        <v>160</v>
      </c>
      <c r="J13" s="287">
        <v>0</v>
      </c>
      <c r="K13" s="281">
        <f t="shared" si="0"/>
        <v>10331</v>
      </c>
      <c r="L13" s="57"/>
      <c r="M13" s="57"/>
      <c r="N13" s="57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</row>
    <row r="14" spans="1:241" ht="17.5" x14ac:dyDescent="0.45">
      <c r="A14" s="269" t="s">
        <v>49</v>
      </c>
      <c r="B14" s="287">
        <v>0</v>
      </c>
      <c r="C14" s="287">
        <v>0</v>
      </c>
      <c r="D14" s="287">
        <f t="shared" si="1"/>
        <v>0</v>
      </c>
      <c r="E14" s="281">
        <v>10000</v>
      </c>
      <c r="F14" s="281">
        <v>4</v>
      </c>
      <c r="G14" s="281">
        <v>160</v>
      </c>
      <c r="H14" s="281">
        <v>5</v>
      </c>
      <c r="I14" s="281">
        <v>160</v>
      </c>
      <c r="J14" s="281">
        <v>40</v>
      </c>
      <c r="K14" s="281">
        <f t="shared" si="0"/>
        <v>10369</v>
      </c>
      <c r="L14" s="57"/>
      <c r="M14" s="57"/>
      <c r="N14" s="57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  <c r="ID14" s="49"/>
      <c r="IE14" s="49"/>
      <c r="IF14" s="49"/>
      <c r="IG14" s="49"/>
    </row>
    <row r="15" spans="1:241" ht="17.5" x14ac:dyDescent="0.45">
      <c r="A15" s="269" t="s">
        <v>50</v>
      </c>
      <c r="B15" s="287">
        <v>0</v>
      </c>
      <c r="C15" s="287">
        <v>0</v>
      </c>
      <c r="D15" s="287">
        <f t="shared" si="1"/>
        <v>0</v>
      </c>
      <c r="E15" s="287">
        <v>0</v>
      </c>
      <c r="F15" s="281">
        <v>6</v>
      </c>
      <c r="G15" s="281">
        <v>490</v>
      </c>
      <c r="H15" s="281">
        <v>4</v>
      </c>
      <c r="I15" s="281">
        <v>345</v>
      </c>
      <c r="J15" s="281">
        <v>102</v>
      </c>
      <c r="K15" s="281">
        <f t="shared" si="0"/>
        <v>947</v>
      </c>
      <c r="L15" s="57"/>
      <c r="M15" s="57"/>
      <c r="N15" s="57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  <c r="ID15" s="49"/>
      <c r="IE15" s="49"/>
      <c r="IF15" s="49"/>
      <c r="IG15" s="49"/>
    </row>
    <row r="16" spans="1:241" ht="17.5" x14ac:dyDescent="0.45">
      <c r="A16" s="269" t="s">
        <v>51</v>
      </c>
      <c r="B16" s="287">
        <v>0</v>
      </c>
      <c r="C16" s="287">
        <v>0</v>
      </c>
      <c r="D16" s="287">
        <f t="shared" si="1"/>
        <v>0</v>
      </c>
      <c r="E16" s="281">
        <v>11448</v>
      </c>
      <c r="F16" s="281">
        <v>20</v>
      </c>
      <c r="G16" s="281">
        <v>820</v>
      </c>
      <c r="H16" s="281">
        <v>12</v>
      </c>
      <c r="I16" s="287">
        <v>0</v>
      </c>
      <c r="J16" s="281">
        <v>172</v>
      </c>
      <c r="K16" s="281">
        <f t="shared" si="0"/>
        <v>12472</v>
      </c>
      <c r="L16" s="57"/>
      <c r="M16" s="57"/>
      <c r="N16" s="57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  <c r="ID16" s="49"/>
      <c r="IE16" s="49"/>
      <c r="IF16" s="49"/>
      <c r="IG16" s="49"/>
    </row>
    <row r="17" spans="1:241" ht="17.5" x14ac:dyDescent="0.45">
      <c r="A17" s="269" t="s">
        <v>52</v>
      </c>
      <c r="B17" s="287">
        <v>0</v>
      </c>
      <c r="C17" s="287">
        <v>0</v>
      </c>
      <c r="D17" s="287">
        <f t="shared" si="1"/>
        <v>0</v>
      </c>
      <c r="E17" s="281">
        <v>16052</v>
      </c>
      <c r="F17" s="281">
        <v>4</v>
      </c>
      <c r="G17" s="281">
        <v>105</v>
      </c>
      <c r="H17" s="287">
        <v>0</v>
      </c>
      <c r="I17" s="281">
        <v>604</v>
      </c>
      <c r="J17" s="281">
        <v>74</v>
      </c>
      <c r="K17" s="281">
        <f t="shared" si="0"/>
        <v>16839</v>
      </c>
      <c r="L17" s="57"/>
      <c r="M17" s="57"/>
      <c r="N17" s="57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  <c r="ID17" s="49"/>
      <c r="IE17" s="49"/>
      <c r="IF17" s="49"/>
      <c r="IG17" s="49"/>
    </row>
    <row r="18" spans="1:241" ht="17.5" x14ac:dyDescent="0.45">
      <c r="A18" s="269" t="s">
        <v>53</v>
      </c>
      <c r="B18" s="287">
        <v>0</v>
      </c>
      <c r="C18" s="287">
        <v>0</v>
      </c>
      <c r="D18" s="287">
        <f t="shared" si="1"/>
        <v>0</v>
      </c>
      <c r="E18" s="281">
        <v>7500</v>
      </c>
      <c r="F18" s="281">
        <v>2</v>
      </c>
      <c r="G18" s="281">
        <v>308</v>
      </c>
      <c r="H18" s="281">
        <v>1</v>
      </c>
      <c r="I18" s="281">
        <v>259</v>
      </c>
      <c r="J18" s="281">
        <v>29</v>
      </c>
      <c r="K18" s="281">
        <f t="shared" si="0"/>
        <v>8099</v>
      </c>
      <c r="L18" s="57"/>
      <c r="M18" s="57"/>
      <c r="N18" s="57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  <c r="IA18" s="49"/>
      <c r="IB18" s="49"/>
      <c r="IC18" s="49"/>
      <c r="ID18" s="49"/>
      <c r="IE18" s="49"/>
      <c r="IF18" s="49"/>
      <c r="IG18" s="49"/>
    </row>
    <row r="19" spans="1:241" ht="17.5" x14ac:dyDescent="0.45">
      <c r="A19" s="269" t="s">
        <v>54</v>
      </c>
      <c r="B19" s="287">
        <v>0</v>
      </c>
      <c r="C19" s="287">
        <v>0</v>
      </c>
      <c r="D19" s="287">
        <f t="shared" si="1"/>
        <v>0</v>
      </c>
      <c r="E19" s="281">
        <v>10000</v>
      </c>
      <c r="F19" s="281">
        <v>2</v>
      </c>
      <c r="G19" s="281">
        <v>323</v>
      </c>
      <c r="H19" s="281">
        <v>2</v>
      </c>
      <c r="I19" s="281">
        <v>345</v>
      </c>
      <c r="J19" s="281">
        <v>26</v>
      </c>
      <c r="K19" s="281">
        <f t="shared" si="0"/>
        <v>10698</v>
      </c>
      <c r="L19" s="63" t="s">
        <v>102</v>
      </c>
      <c r="M19" s="57"/>
      <c r="N19" s="57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  <c r="ID19" s="49"/>
      <c r="IE19" s="49"/>
      <c r="IF19" s="49"/>
      <c r="IG19" s="49"/>
    </row>
    <row r="20" spans="1:241" ht="17.5" x14ac:dyDescent="0.45">
      <c r="A20" s="269" t="s">
        <v>55</v>
      </c>
      <c r="B20" s="287">
        <v>0</v>
      </c>
      <c r="C20" s="287">
        <v>0</v>
      </c>
      <c r="D20" s="287">
        <f t="shared" si="1"/>
        <v>0</v>
      </c>
      <c r="E20" s="287">
        <v>0</v>
      </c>
      <c r="F20" s="281">
        <v>8</v>
      </c>
      <c r="G20" s="287">
        <v>0</v>
      </c>
      <c r="H20" s="281">
        <v>8</v>
      </c>
      <c r="I20" s="281">
        <v>345</v>
      </c>
      <c r="J20" s="281">
        <v>191</v>
      </c>
      <c r="K20" s="281">
        <f t="shared" si="0"/>
        <v>552</v>
      </c>
      <c r="L20" s="57"/>
      <c r="M20" s="57"/>
      <c r="N20" s="57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  <c r="IA20" s="49"/>
      <c r="IB20" s="49"/>
      <c r="IC20" s="49"/>
      <c r="ID20" s="49"/>
      <c r="IE20" s="49"/>
      <c r="IF20" s="49"/>
      <c r="IG20" s="49"/>
    </row>
    <row r="21" spans="1:241" ht="17.5" x14ac:dyDescent="0.45">
      <c r="A21" s="269" t="s">
        <v>56</v>
      </c>
      <c r="B21" s="281">
        <v>4659</v>
      </c>
      <c r="C21" s="281">
        <v>4031</v>
      </c>
      <c r="D21" s="281">
        <f t="shared" si="1"/>
        <v>8690</v>
      </c>
      <c r="E21" s="281">
        <v>7500</v>
      </c>
      <c r="F21" s="281">
        <v>5</v>
      </c>
      <c r="G21" s="283">
        <v>0</v>
      </c>
      <c r="H21" s="281">
        <v>4</v>
      </c>
      <c r="I21" s="281">
        <v>283</v>
      </c>
      <c r="J21" s="283">
        <v>0</v>
      </c>
      <c r="K21" s="281">
        <f t="shared" si="0"/>
        <v>7792</v>
      </c>
      <c r="L21" s="57"/>
      <c r="M21" s="57"/>
      <c r="N21" s="57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  <c r="IB21" s="49"/>
      <c r="IC21" s="49"/>
      <c r="ID21" s="49"/>
      <c r="IE21" s="49"/>
      <c r="IF21" s="49"/>
      <c r="IG21" s="49"/>
    </row>
    <row r="22" spans="1:241" ht="17.5" x14ac:dyDescent="0.45">
      <c r="A22" s="269" t="s">
        <v>57</v>
      </c>
      <c r="B22" s="281">
        <v>17288</v>
      </c>
      <c r="C22" s="281">
        <v>3752</v>
      </c>
      <c r="D22" s="281">
        <f t="shared" si="1"/>
        <v>21040</v>
      </c>
      <c r="E22" s="281">
        <v>10000</v>
      </c>
      <c r="F22" s="281">
        <v>4</v>
      </c>
      <c r="G22" s="283">
        <v>0</v>
      </c>
      <c r="H22" s="281">
        <v>4</v>
      </c>
      <c r="I22" s="281">
        <v>283</v>
      </c>
      <c r="J22" s="283">
        <v>0</v>
      </c>
      <c r="K22" s="281">
        <f t="shared" si="0"/>
        <v>10291</v>
      </c>
      <c r="L22" s="57"/>
      <c r="M22" s="57"/>
      <c r="N22" s="57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  <c r="IA22" s="49"/>
      <c r="IB22" s="49"/>
      <c r="IC22" s="49"/>
      <c r="ID22" s="49"/>
      <c r="IE22" s="49"/>
      <c r="IF22" s="49"/>
      <c r="IG22" s="49"/>
    </row>
    <row r="23" spans="1:241" ht="17.5" x14ac:dyDescent="0.45">
      <c r="A23" s="269" t="s">
        <v>58</v>
      </c>
      <c r="B23" s="281">
        <v>24155</v>
      </c>
      <c r="C23" s="281">
        <v>4385</v>
      </c>
      <c r="D23" s="281">
        <f t="shared" si="1"/>
        <v>28540</v>
      </c>
      <c r="E23" s="281">
        <v>10000</v>
      </c>
      <c r="F23" s="281">
        <v>5</v>
      </c>
      <c r="G23" s="281">
        <v>31</v>
      </c>
      <c r="H23" s="281">
        <v>4</v>
      </c>
      <c r="I23" s="281">
        <v>116</v>
      </c>
      <c r="J23" s="283">
        <v>0</v>
      </c>
      <c r="K23" s="281">
        <f t="shared" si="0"/>
        <v>10156</v>
      </c>
      <c r="L23" s="57"/>
      <c r="M23" s="57"/>
      <c r="N23" s="57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  <c r="IB23" s="49"/>
      <c r="IC23" s="49"/>
      <c r="ID23" s="49"/>
      <c r="IE23" s="49"/>
      <c r="IF23" s="49"/>
      <c r="IG23" s="49"/>
    </row>
    <row r="24" spans="1:241" ht="17.5" x14ac:dyDescent="0.45">
      <c r="A24" s="269" t="s">
        <v>59</v>
      </c>
      <c r="B24" s="281">
        <v>18812</v>
      </c>
      <c r="C24" s="281">
        <v>2970</v>
      </c>
      <c r="D24" s="281">
        <f t="shared" si="1"/>
        <v>21782</v>
      </c>
      <c r="E24" s="281">
        <v>10000</v>
      </c>
      <c r="F24" s="281">
        <v>5</v>
      </c>
      <c r="G24" s="283">
        <v>0</v>
      </c>
      <c r="H24" s="281">
        <v>4</v>
      </c>
      <c r="I24" s="281">
        <v>116</v>
      </c>
      <c r="J24" s="283">
        <v>0</v>
      </c>
      <c r="K24" s="281">
        <f t="shared" si="0"/>
        <v>10125</v>
      </c>
      <c r="L24" s="57"/>
      <c r="M24" s="57"/>
      <c r="N24" s="57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  <c r="IA24" s="49"/>
      <c r="IB24" s="49"/>
      <c r="IC24" s="49"/>
      <c r="ID24" s="49"/>
      <c r="IE24" s="49"/>
      <c r="IF24" s="49"/>
      <c r="IG24" s="49"/>
    </row>
    <row r="25" spans="1:241" ht="17.5" x14ac:dyDescent="0.45">
      <c r="A25" s="269" t="s">
        <v>111</v>
      </c>
      <c r="B25" s="281">
        <v>40418</v>
      </c>
      <c r="C25" s="281">
        <v>5662</v>
      </c>
      <c r="D25" s="281">
        <f t="shared" si="1"/>
        <v>46080</v>
      </c>
      <c r="E25" s="281">
        <v>10000</v>
      </c>
      <c r="F25" s="283">
        <v>0</v>
      </c>
      <c r="G25" s="283">
        <v>0</v>
      </c>
      <c r="H25" s="281">
        <v>4</v>
      </c>
      <c r="I25" s="281">
        <v>116</v>
      </c>
      <c r="J25" s="283">
        <v>0</v>
      </c>
      <c r="K25" s="281">
        <f t="shared" si="0"/>
        <v>10120</v>
      </c>
      <c r="L25" s="57"/>
      <c r="M25" s="57"/>
      <c r="N25" s="57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8"/>
      <c r="AS25" s="48"/>
      <c r="AT25" s="48"/>
      <c r="AU25" s="48"/>
      <c r="AV25" s="48"/>
      <c r="AW25" s="48"/>
      <c r="AX25" s="48"/>
      <c r="AY25" s="48"/>
      <c r="AZ25" s="48"/>
      <c r="BA25" s="48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  <c r="ID25" s="49"/>
      <c r="IE25" s="49"/>
      <c r="IF25" s="49"/>
      <c r="IG25" s="49"/>
    </row>
    <row r="26" spans="1:241" ht="17.5" x14ac:dyDescent="0.45">
      <c r="A26" s="269" t="s">
        <v>60</v>
      </c>
      <c r="B26" s="281">
        <v>29041</v>
      </c>
      <c r="C26" s="281">
        <v>4623</v>
      </c>
      <c r="D26" s="281">
        <f t="shared" si="1"/>
        <v>33664</v>
      </c>
      <c r="E26" s="281">
        <v>10997</v>
      </c>
      <c r="F26" s="283">
        <v>0</v>
      </c>
      <c r="G26" s="281">
        <v>28</v>
      </c>
      <c r="H26" s="281">
        <v>4</v>
      </c>
      <c r="I26" s="281">
        <v>116</v>
      </c>
      <c r="J26" s="283">
        <v>0</v>
      </c>
      <c r="K26" s="281">
        <f t="shared" si="0"/>
        <v>11145</v>
      </c>
      <c r="L26" s="57"/>
      <c r="M26" s="57"/>
      <c r="N26" s="57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8"/>
      <c r="AX26" s="48"/>
      <c r="AY26" s="48"/>
      <c r="AZ26" s="48"/>
      <c r="BA26" s="48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  <c r="ID26" s="49"/>
      <c r="IE26" s="49"/>
      <c r="IF26" s="49"/>
      <c r="IG26" s="49"/>
    </row>
    <row r="27" spans="1:241" ht="17.5" x14ac:dyDescent="0.45">
      <c r="A27" s="270" t="s">
        <v>61</v>
      </c>
      <c r="B27" s="281">
        <v>26272</v>
      </c>
      <c r="C27" s="281">
        <v>2326</v>
      </c>
      <c r="D27" s="281">
        <f t="shared" si="1"/>
        <v>28598</v>
      </c>
      <c r="E27" s="281">
        <v>17733</v>
      </c>
      <c r="F27" s="283">
        <v>0</v>
      </c>
      <c r="G27" s="281">
        <v>0</v>
      </c>
      <c r="H27" s="281">
        <v>4</v>
      </c>
      <c r="I27" s="281">
        <v>116</v>
      </c>
      <c r="J27" s="283">
        <v>0</v>
      </c>
      <c r="K27" s="281">
        <f t="shared" si="0"/>
        <v>17853</v>
      </c>
      <c r="L27" s="57"/>
      <c r="M27" s="57"/>
      <c r="N27" s="57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8"/>
      <c r="AS27" s="48"/>
      <c r="AT27" s="48"/>
      <c r="AU27" s="48"/>
      <c r="AV27" s="48"/>
      <c r="AW27" s="48"/>
      <c r="AX27" s="48"/>
      <c r="AY27" s="48"/>
      <c r="AZ27" s="48"/>
      <c r="BA27" s="48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  <c r="ID27" s="49"/>
      <c r="IE27" s="49"/>
      <c r="IF27" s="49"/>
      <c r="IG27" s="49"/>
    </row>
    <row r="28" spans="1:241" ht="17.5" x14ac:dyDescent="0.45">
      <c r="A28" s="270" t="s">
        <v>62</v>
      </c>
      <c r="B28" s="281">
        <v>7504</v>
      </c>
      <c r="C28" s="281">
        <v>1080</v>
      </c>
      <c r="D28" s="281">
        <f t="shared" si="1"/>
        <v>8584</v>
      </c>
      <c r="E28" s="281">
        <v>2169</v>
      </c>
      <c r="F28" s="283">
        <v>0</v>
      </c>
      <c r="G28" s="281">
        <v>12</v>
      </c>
      <c r="H28" s="281">
        <v>4</v>
      </c>
      <c r="I28" s="281">
        <v>345</v>
      </c>
      <c r="J28" s="283">
        <v>0</v>
      </c>
      <c r="K28" s="281">
        <f t="shared" si="0"/>
        <v>2530</v>
      </c>
      <c r="L28" s="57"/>
      <c r="M28" s="57"/>
      <c r="N28" s="57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8"/>
      <c r="AS28" s="48"/>
      <c r="AT28" s="48"/>
      <c r="AU28" s="48"/>
      <c r="AV28" s="48"/>
      <c r="AW28" s="48"/>
      <c r="AX28" s="48"/>
      <c r="AY28" s="48"/>
      <c r="AZ28" s="48"/>
      <c r="BA28" s="48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  <c r="HX28" s="49"/>
      <c r="HY28" s="49"/>
      <c r="HZ28" s="49"/>
      <c r="IA28" s="49"/>
      <c r="IB28" s="49"/>
      <c r="IC28" s="49"/>
      <c r="ID28" s="49"/>
      <c r="IE28" s="49"/>
      <c r="IF28" s="49"/>
      <c r="IG28" s="49"/>
    </row>
    <row r="29" spans="1:241" ht="17.5" x14ac:dyDescent="0.45">
      <c r="A29" s="270" t="s">
        <v>63</v>
      </c>
      <c r="B29" s="281">
        <v>11501</v>
      </c>
      <c r="C29" s="281">
        <v>850</v>
      </c>
      <c r="D29" s="281">
        <f t="shared" si="1"/>
        <v>12351</v>
      </c>
      <c r="E29" s="281">
        <v>10034</v>
      </c>
      <c r="F29" s="283">
        <v>0</v>
      </c>
      <c r="G29" s="281">
        <v>12</v>
      </c>
      <c r="H29" s="281">
        <v>0</v>
      </c>
      <c r="I29" s="281">
        <v>116</v>
      </c>
      <c r="J29" s="283">
        <v>0</v>
      </c>
      <c r="K29" s="281">
        <f t="shared" si="0"/>
        <v>10162</v>
      </c>
      <c r="L29" s="57"/>
      <c r="M29" s="57"/>
      <c r="N29" s="57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8"/>
      <c r="AS29" s="48"/>
      <c r="AT29" s="48"/>
      <c r="AU29" s="48"/>
      <c r="AV29" s="48"/>
      <c r="AW29" s="48"/>
      <c r="AX29" s="48"/>
      <c r="AY29" s="48"/>
      <c r="AZ29" s="48"/>
      <c r="BA29" s="48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  <c r="IA29" s="49"/>
      <c r="IB29" s="49"/>
      <c r="IC29" s="49"/>
      <c r="ID29" s="49"/>
      <c r="IE29" s="49"/>
      <c r="IF29" s="49"/>
      <c r="IG29" s="49"/>
    </row>
    <row r="30" spans="1:241" ht="17.5" x14ac:dyDescent="0.45">
      <c r="A30" s="270" t="s">
        <v>64</v>
      </c>
      <c r="B30" s="281">
        <v>13605</v>
      </c>
      <c r="C30" s="281">
        <v>757</v>
      </c>
      <c r="D30" s="281">
        <f t="shared" si="1"/>
        <v>14362</v>
      </c>
      <c r="E30" s="281">
        <v>10000</v>
      </c>
      <c r="F30" s="283">
        <v>0</v>
      </c>
      <c r="G30" s="283">
        <v>0</v>
      </c>
      <c r="H30" s="281">
        <v>4</v>
      </c>
      <c r="I30" s="281">
        <v>116</v>
      </c>
      <c r="J30" s="283">
        <v>0</v>
      </c>
      <c r="K30" s="281">
        <f t="shared" si="0"/>
        <v>10120</v>
      </c>
      <c r="L30" s="63"/>
      <c r="M30" s="57"/>
      <c r="N30" s="57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8"/>
      <c r="AS30" s="48"/>
      <c r="AT30" s="48"/>
      <c r="AU30" s="48"/>
      <c r="AV30" s="48"/>
      <c r="AW30" s="48"/>
      <c r="AX30" s="48"/>
      <c r="AY30" s="48"/>
      <c r="AZ30" s="48"/>
      <c r="BA30" s="48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  <c r="IB30" s="49"/>
      <c r="IC30" s="49"/>
      <c r="ID30" s="49"/>
      <c r="IE30" s="49"/>
      <c r="IF30" s="49"/>
      <c r="IG30" s="49"/>
    </row>
    <row r="31" spans="1:241" ht="17.5" x14ac:dyDescent="0.45">
      <c r="A31" s="270" t="s">
        <v>65</v>
      </c>
      <c r="B31" s="281">
        <v>27224</v>
      </c>
      <c r="C31" s="281">
        <v>3456</v>
      </c>
      <c r="D31" s="281">
        <f t="shared" si="1"/>
        <v>30680</v>
      </c>
      <c r="E31" s="281">
        <v>2599</v>
      </c>
      <c r="F31" s="283">
        <v>0</v>
      </c>
      <c r="G31" s="281">
        <v>25</v>
      </c>
      <c r="H31" s="281">
        <v>4</v>
      </c>
      <c r="I31" s="281">
        <v>116</v>
      </c>
      <c r="J31" s="283">
        <v>0</v>
      </c>
      <c r="K31" s="281">
        <f t="shared" si="0"/>
        <v>2744</v>
      </c>
      <c r="L31" s="63"/>
      <c r="M31" s="57"/>
      <c r="N31" s="57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  <c r="IA31" s="49"/>
      <c r="IB31" s="49"/>
      <c r="IC31" s="49"/>
      <c r="ID31" s="49"/>
      <c r="IE31" s="49"/>
      <c r="IF31" s="49"/>
      <c r="IG31" s="49"/>
    </row>
    <row r="32" spans="1:241" ht="17.5" x14ac:dyDescent="0.45">
      <c r="A32" s="270" t="s">
        <v>66</v>
      </c>
      <c r="B32" s="281">
        <v>34531</v>
      </c>
      <c r="C32" s="281">
        <v>5030</v>
      </c>
      <c r="D32" s="281">
        <f t="shared" si="1"/>
        <v>39561</v>
      </c>
      <c r="E32" s="281">
        <v>2386</v>
      </c>
      <c r="F32" s="283">
        <v>0</v>
      </c>
      <c r="G32" s="281">
        <v>31</v>
      </c>
      <c r="H32" s="281">
        <v>2</v>
      </c>
      <c r="I32" s="281">
        <v>116</v>
      </c>
      <c r="J32" s="283">
        <v>0</v>
      </c>
      <c r="K32" s="281">
        <f t="shared" si="0"/>
        <v>2535</v>
      </c>
      <c r="L32" s="63"/>
      <c r="M32" s="57"/>
      <c r="N32" s="57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8"/>
      <c r="AS32" s="48"/>
      <c r="AT32" s="48"/>
      <c r="AU32" s="48"/>
      <c r="AV32" s="48"/>
      <c r="AW32" s="48"/>
      <c r="AX32" s="48"/>
      <c r="AY32" s="48"/>
      <c r="AZ32" s="48"/>
      <c r="BA32" s="48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  <c r="HX32" s="49"/>
      <c r="HY32" s="49"/>
      <c r="HZ32" s="49"/>
      <c r="IA32" s="49"/>
      <c r="IB32" s="49"/>
      <c r="IC32" s="49"/>
      <c r="ID32" s="49"/>
      <c r="IE32" s="49"/>
      <c r="IF32" s="49"/>
      <c r="IG32" s="49"/>
    </row>
    <row r="33" spans="1:241" ht="17.5" x14ac:dyDescent="0.45">
      <c r="A33" s="269" t="s">
        <v>67</v>
      </c>
      <c r="B33" s="281">
        <v>44933</v>
      </c>
      <c r="C33" s="281">
        <v>4923</v>
      </c>
      <c r="D33" s="281">
        <f t="shared" si="1"/>
        <v>49856</v>
      </c>
      <c r="E33" s="281">
        <v>525</v>
      </c>
      <c r="F33" s="283">
        <v>0</v>
      </c>
      <c r="G33" s="281">
        <v>93</v>
      </c>
      <c r="H33" s="281">
        <v>4</v>
      </c>
      <c r="I33" s="281">
        <v>116</v>
      </c>
      <c r="J33" s="283">
        <v>0</v>
      </c>
      <c r="K33" s="281">
        <f t="shared" si="0"/>
        <v>738</v>
      </c>
      <c r="L33" s="57"/>
      <c r="M33" s="57"/>
      <c r="N33" s="57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8"/>
      <c r="AS33" s="48"/>
      <c r="AT33" s="48"/>
      <c r="AU33" s="48"/>
      <c r="AV33" s="48"/>
      <c r="AW33" s="48"/>
      <c r="AX33" s="48"/>
      <c r="AY33" s="48"/>
      <c r="AZ33" s="48"/>
      <c r="BA33" s="48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  <c r="IA33" s="49"/>
      <c r="IB33" s="49"/>
      <c r="IC33" s="49"/>
      <c r="ID33" s="49"/>
      <c r="IE33" s="49"/>
      <c r="IF33" s="49"/>
      <c r="IG33" s="49"/>
    </row>
    <row r="34" spans="1:241" ht="17.5" x14ac:dyDescent="0.45">
      <c r="A34" s="269" t="s">
        <v>68</v>
      </c>
      <c r="B34" s="281">
        <v>36554</v>
      </c>
      <c r="C34" s="281">
        <v>330</v>
      </c>
      <c r="D34" s="281">
        <f t="shared" si="1"/>
        <v>36884</v>
      </c>
      <c r="E34" s="281">
        <v>9510</v>
      </c>
      <c r="F34" s="283">
        <v>0</v>
      </c>
      <c r="G34" s="281">
        <v>10</v>
      </c>
      <c r="H34" s="281">
        <v>4</v>
      </c>
      <c r="I34" s="281">
        <v>116</v>
      </c>
      <c r="J34" s="283">
        <v>0</v>
      </c>
      <c r="K34" s="281">
        <f t="shared" si="0"/>
        <v>9640</v>
      </c>
      <c r="L34" s="57"/>
      <c r="M34" s="57"/>
      <c r="N34" s="57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8"/>
      <c r="AS34" s="48"/>
      <c r="AT34" s="48"/>
      <c r="AU34" s="48"/>
      <c r="AV34" s="48"/>
      <c r="AW34" s="48"/>
      <c r="AX34" s="48"/>
      <c r="AY34" s="48"/>
      <c r="AZ34" s="48"/>
      <c r="BA34" s="48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  <c r="ID34" s="49"/>
      <c r="IE34" s="49"/>
      <c r="IF34" s="49"/>
      <c r="IG34" s="49"/>
    </row>
    <row r="35" spans="1:241" ht="17.5" x14ac:dyDescent="0.45">
      <c r="A35" s="269" t="s">
        <v>69</v>
      </c>
      <c r="B35" s="281">
        <v>30701</v>
      </c>
      <c r="C35" s="281">
        <v>1955</v>
      </c>
      <c r="D35" s="281">
        <f t="shared" si="1"/>
        <v>32656</v>
      </c>
      <c r="E35" s="281">
        <v>1385</v>
      </c>
      <c r="F35" s="283">
        <v>0</v>
      </c>
      <c r="G35" s="281">
        <v>15</v>
      </c>
      <c r="H35" s="281">
        <v>4</v>
      </c>
      <c r="I35" s="281">
        <v>121</v>
      </c>
      <c r="J35" s="283">
        <v>0</v>
      </c>
      <c r="K35" s="281">
        <f t="shared" si="0"/>
        <v>1525</v>
      </c>
      <c r="L35" s="57"/>
      <c r="M35" s="57"/>
      <c r="N35" s="57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8"/>
      <c r="AS35" s="48"/>
      <c r="AT35" s="48"/>
      <c r="AU35" s="48"/>
      <c r="AV35" s="48"/>
      <c r="AW35" s="48"/>
      <c r="AX35" s="48"/>
      <c r="AY35" s="48"/>
      <c r="AZ35" s="48"/>
      <c r="BA35" s="48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  <c r="IB35" s="49"/>
      <c r="IC35" s="49"/>
      <c r="ID35" s="49"/>
      <c r="IE35" s="49"/>
      <c r="IF35" s="49"/>
      <c r="IG35" s="49"/>
    </row>
    <row r="36" spans="1:241" ht="17.5" x14ac:dyDescent="0.45">
      <c r="A36" s="270" t="s">
        <v>70</v>
      </c>
      <c r="B36" s="281">
        <v>31508</v>
      </c>
      <c r="C36" s="281">
        <v>10263</v>
      </c>
      <c r="D36" s="281">
        <f t="shared" si="1"/>
        <v>41771</v>
      </c>
      <c r="E36" s="283">
        <v>0</v>
      </c>
      <c r="F36" s="283">
        <v>0</v>
      </c>
      <c r="G36" s="281">
        <v>61</v>
      </c>
      <c r="H36" s="281">
        <v>4</v>
      </c>
      <c r="I36" s="281">
        <v>123</v>
      </c>
      <c r="J36" s="283">
        <v>0</v>
      </c>
      <c r="K36" s="281">
        <f t="shared" si="0"/>
        <v>188</v>
      </c>
      <c r="L36" s="57"/>
      <c r="M36" s="57"/>
      <c r="N36" s="57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8"/>
      <c r="AS36" s="48"/>
      <c r="AT36" s="48"/>
      <c r="AU36" s="48"/>
      <c r="AV36" s="48"/>
      <c r="AW36" s="48"/>
      <c r="AX36" s="48"/>
      <c r="AY36" s="48"/>
      <c r="AZ36" s="48"/>
      <c r="BA36" s="48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  <c r="IA36" s="49"/>
      <c r="IB36" s="49"/>
      <c r="IC36" s="49"/>
      <c r="ID36" s="49"/>
      <c r="IE36" s="49"/>
      <c r="IF36" s="49"/>
      <c r="IG36" s="49"/>
    </row>
    <row r="37" spans="1:241" ht="17.5" x14ac:dyDescent="0.45">
      <c r="A37" s="269" t="s">
        <v>71</v>
      </c>
      <c r="B37" s="281">
        <v>28111</v>
      </c>
      <c r="C37" s="281">
        <v>12536</v>
      </c>
      <c r="D37" s="281">
        <f t="shared" si="1"/>
        <v>40647</v>
      </c>
      <c r="E37" s="281">
        <v>2800</v>
      </c>
      <c r="F37" s="283">
        <v>0</v>
      </c>
      <c r="G37" s="281">
        <v>15</v>
      </c>
      <c r="H37" s="281">
        <v>4</v>
      </c>
      <c r="I37" s="281">
        <v>122</v>
      </c>
      <c r="J37" s="283">
        <v>0</v>
      </c>
      <c r="K37" s="281">
        <f t="shared" si="0"/>
        <v>2941</v>
      </c>
      <c r="L37" s="57"/>
      <c r="M37" s="57"/>
      <c r="N37" s="57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  <c r="IB37" s="49"/>
      <c r="IC37" s="49"/>
      <c r="ID37" s="49"/>
      <c r="IE37" s="49"/>
      <c r="IF37" s="49"/>
      <c r="IG37" s="49"/>
    </row>
    <row r="38" spans="1:241" ht="17.5" x14ac:dyDescent="0.45">
      <c r="A38" s="269" t="s">
        <v>72</v>
      </c>
      <c r="B38" s="281">
        <v>33529</v>
      </c>
      <c r="C38" s="281">
        <v>6846</v>
      </c>
      <c r="D38" s="281">
        <f>SUM(B38:C38)</f>
        <v>40375</v>
      </c>
      <c r="E38" s="281">
        <v>2900</v>
      </c>
      <c r="F38" s="283">
        <v>0</v>
      </c>
      <c r="G38" s="281">
        <v>15</v>
      </c>
      <c r="H38" s="281">
        <v>4</v>
      </c>
      <c r="I38" s="281">
        <v>123</v>
      </c>
      <c r="J38" s="283">
        <v>0</v>
      </c>
      <c r="K38" s="281">
        <f t="shared" si="0"/>
        <v>3042</v>
      </c>
      <c r="L38" s="57"/>
      <c r="M38" s="57"/>
      <c r="N38" s="57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  <c r="ID38" s="49"/>
      <c r="IE38" s="49"/>
      <c r="IF38" s="49"/>
      <c r="IG38" s="49"/>
    </row>
    <row r="39" spans="1:241" ht="17.5" x14ac:dyDescent="0.45">
      <c r="A39" s="269" t="s">
        <v>73</v>
      </c>
      <c r="B39" s="281">
        <v>34724</v>
      </c>
      <c r="C39" s="281">
        <v>6381</v>
      </c>
      <c r="D39" s="281">
        <f t="shared" si="1"/>
        <v>41105</v>
      </c>
      <c r="E39" s="281">
        <v>5264</v>
      </c>
      <c r="F39" s="283">
        <v>0</v>
      </c>
      <c r="G39" s="283">
        <v>0</v>
      </c>
      <c r="H39" s="281">
        <v>4</v>
      </c>
      <c r="I39" s="281">
        <v>123</v>
      </c>
      <c r="J39" s="283">
        <v>0</v>
      </c>
      <c r="K39" s="281">
        <f t="shared" ref="K39:K56" si="2">SUM(E39:J39)</f>
        <v>5391</v>
      </c>
      <c r="L39" s="57"/>
      <c r="M39" s="57"/>
      <c r="N39" s="57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  <c r="IB39" s="49"/>
      <c r="IC39" s="49"/>
      <c r="ID39" s="49"/>
      <c r="IE39" s="49"/>
      <c r="IF39" s="49"/>
      <c r="IG39" s="49"/>
    </row>
    <row r="40" spans="1:241" ht="17.5" x14ac:dyDescent="0.45">
      <c r="A40" s="269" t="s">
        <v>74</v>
      </c>
      <c r="B40" s="281">
        <v>35692</v>
      </c>
      <c r="C40" s="281">
        <v>8702</v>
      </c>
      <c r="D40" s="281">
        <f t="shared" si="1"/>
        <v>44394</v>
      </c>
      <c r="E40" s="281">
        <v>1491</v>
      </c>
      <c r="F40" s="283">
        <v>0</v>
      </c>
      <c r="G40" s="283">
        <v>0</v>
      </c>
      <c r="H40" s="283">
        <v>0</v>
      </c>
      <c r="I40" s="281">
        <v>122</v>
      </c>
      <c r="J40" s="283">
        <v>0</v>
      </c>
      <c r="K40" s="281">
        <f t="shared" si="2"/>
        <v>1613</v>
      </c>
      <c r="L40" s="57"/>
      <c r="M40" s="57"/>
      <c r="N40" s="57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  <c r="IA40" s="49"/>
      <c r="IB40" s="49"/>
      <c r="IC40" s="49"/>
      <c r="ID40" s="49"/>
      <c r="IE40" s="49"/>
      <c r="IF40" s="49"/>
      <c r="IG40" s="49"/>
    </row>
    <row r="41" spans="1:241" ht="17.5" x14ac:dyDescent="0.45">
      <c r="A41" s="269" t="s">
        <v>75</v>
      </c>
      <c r="B41" s="281">
        <v>1096</v>
      </c>
      <c r="C41" s="281">
        <v>1845</v>
      </c>
      <c r="D41" s="281">
        <f t="shared" si="1"/>
        <v>2941</v>
      </c>
      <c r="E41" s="281">
        <v>2567</v>
      </c>
      <c r="F41" s="283">
        <v>0</v>
      </c>
      <c r="G41" s="283">
        <v>0</v>
      </c>
      <c r="H41" s="283">
        <v>0</v>
      </c>
      <c r="I41" s="281">
        <v>122</v>
      </c>
      <c r="J41" s="283">
        <v>0</v>
      </c>
      <c r="K41" s="281">
        <f t="shared" si="2"/>
        <v>2689</v>
      </c>
      <c r="L41" s="57"/>
      <c r="M41" s="57"/>
      <c r="N41" s="57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  <c r="ID41" s="49"/>
      <c r="IE41" s="49"/>
      <c r="IF41" s="49"/>
      <c r="IG41" s="49"/>
    </row>
    <row r="42" spans="1:241" ht="17.5" x14ac:dyDescent="0.45">
      <c r="A42" s="269" t="s">
        <v>76</v>
      </c>
      <c r="B42" s="283">
        <v>0</v>
      </c>
      <c r="C42" s="283">
        <v>0</v>
      </c>
      <c r="D42" s="283">
        <f t="shared" si="1"/>
        <v>0</v>
      </c>
      <c r="E42" s="281">
        <v>1865</v>
      </c>
      <c r="F42" s="283">
        <v>0</v>
      </c>
      <c r="G42" s="283">
        <v>0</v>
      </c>
      <c r="H42" s="281">
        <v>4</v>
      </c>
      <c r="I42" s="281">
        <v>285</v>
      </c>
      <c r="J42" s="283">
        <v>0</v>
      </c>
      <c r="K42" s="281">
        <f t="shared" si="2"/>
        <v>2154</v>
      </c>
      <c r="L42" s="57"/>
      <c r="M42" s="57"/>
      <c r="N42" s="57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  <c r="IA42" s="49"/>
      <c r="IB42" s="49"/>
      <c r="IC42" s="49"/>
      <c r="ID42" s="49"/>
      <c r="IE42" s="49"/>
      <c r="IF42" s="49"/>
      <c r="IG42" s="49"/>
    </row>
    <row r="43" spans="1:241" ht="17.5" x14ac:dyDescent="0.45">
      <c r="A43" s="269" t="s">
        <v>77</v>
      </c>
      <c r="B43" s="281">
        <v>29088</v>
      </c>
      <c r="C43" s="281">
        <v>3652</v>
      </c>
      <c r="D43" s="281">
        <f>SUM(B43:C43)</f>
        <v>32740</v>
      </c>
      <c r="E43" s="281">
        <v>3036</v>
      </c>
      <c r="F43" s="283">
        <v>0</v>
      </c>
      <c r="G43" s="283">
        <v>0</v>
      </c>
      <c r="H43" s="321">
        <v>4</v>
      </c>
      <c r="I43" s="281">
        <v>285</v>
      </c>
      <c r="J43" s="283">
        <v>0</v>
      </c>
      <c r="K43" s="281">
        <f t="shared" si="2"/>
        <v>3325</v>
      </c>
      <c r="L43" s="57"/>
      <c r="M43" s="57"/>
      <c r="N43" s="57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  <c r="IB43" s="49"/>
      <c r="IC43" s="49"/>
      <c r="ID43" s="49"/>
      <c r="IE43" s="49"/>
      <c r="IF43" s="49"/>
      <c r="IG43" s="49"/>
    </row>
    <row r="44" spans="1:241" ht="17.5" x14ac:dyDescent="0.45">
      <c r="A44" s="269" t="s">
        <v>78</v>
      </c>
      <c r="B44" s="281">
        <v>1082</v>
      </c>
      <c r="C44" s="281">
        <v>9305</v>
      </c>
      <c r="D44" s="281">
        <f>SUM(B44:C44)</f>
        <v>10387</v>
      </c>
      <c r="E44" s="281">
        <v>3140</v>
      </c>
      <c r="F44" s="283">
        <v>0</v>
      </c>
      <c r="G44" s="283">
        <v>0</v>
      </c>
      <c r="H44" s="321">
        <v>0</v>
      </c>
      <c r="I44" s="281">
        <v>285</v>
      </c>
      <c r="J44" s="283">
        <v>0</v>
      </c>
      <c r="K44" s="281">
        <f t="shared" si="2"/>
        <v>3425</v>
      </c>
      <c r="L44" s="57"/>
      <c r="M44" s="57"/>
      <c r="N44" s="57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  <c r="HX44" s="49"/>
      <c r="HY44" s="49"/>
      <c r="HZ44" s="49"/>
      <c r="IA44" s="49"/>
      <c r="IB44" s="49"/>
      <c r="IC44" s="49"/>
      <c r="ID44" s="49"/>
      <c r="IE44" s="49"/>
      <c r="IF44" s="49"/>
      <c r="IG44" s="49"/>
    </row>
    <row r="45" spans="1:241" ht="17.5" x14ac:dyDescent="0.45">
      <c r="A45" s="269" t="s">
        <v>79</v>
      </c>
      <c r="B45" s="281">
        <v>18406</v>
      </c>
      <c r="C45" s="281">
        <v>3809</v>
      </c>
      <c r="D45" s="281">
        <f t="shared" si="1"/>
        <v>22215</v>
      </c>
      <c r="E45" s="281">
        <v>2860</v>
      </c>
      <c r="F45" s="283">
        <v>0</v>
      </c>
      <c r="G45" s="283">
        <v>0</v>
      </c>
      <c r="H45" s="321">
        <v>6</v>
      </c>
      <c r="I45" s="281">
        <v>285</v>
      </c>
      <c r="J45" s="283">
        <v>0</v>
      </c>
      <c r="K45" s="281">
        <f t="shared" si="2"/>
        <v>3151</v>
      </c>
      <c r="L45" s="57"/>
      <c r="M45" s="57"/>
      <c r="N45" s="57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  <c r="IA45" s="49"/>
      <c r="IB45" s="49"/>
      <c r="IC45" s="49"/>
      <c r="ID45" s="49"/>
      <c r="IE45" s="49"/>
      <c r="IF45" s="49"/>
      <c r="IG45" s="49"/>
    </row>
    <row r="46" spans="1:241" ht="17.5" x14ac:dyDescent="0.45">
      <c r="A46" s="269" t="s">
        <v>80</v>
      </c>
      <c r="B46" s="281">
        <v>28563</v>
      </c>
      <c r="C46" s="281">
        <v>5851</v>
      </c>
      <c r="D46" s="281">
        <f>SUM(B46:C46)</f>
        <v>34414</v>
      </c>
      <c r="E46" s="281">
        <v>1464</v>
      </c>
      <c r="F46" s="283">
        <v>0</v>
      </c>
      <c r="G46" s="283">
        <v>0</v>
      </c>
      <c r="H46" s="321">
        <v>4</v>
      </c>
      <c r="I46" s="281">
        <v>259</v>
      </c>
      <c r="J46" s="283">
        <v>0</v>
      </c>
      <c r="K46" s="281">
        <f t="shared" si="2"/>
        <v>1727</v>
      </c>
      <c r="L46" s="57"/>
      <c r="M46" s="57"/>
      <c r="N46" s="57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  <c r="ID46" s="49"/>
      <c r="IE46" s="49"/>
      <c r="IF46" s="49"/>
      <c r="IG46" s="49"/>
    </row>
    <row r="47" spans="1:241" ht="17.5" x14ac:dyDescent="0.45">
      <c r="A47" s="269" t="s">
        <v>81</v>
      </c>
      <c r="B47" s="281">
        <f>[1]ActualDeliveries!E$148</f>
        <v>31147</v>
      </c>
      <c r="C47" s="281">
        <f>[1]ActualDeliveries!E$149</f>
        <v>14762</v>
      </c>
      <c r="D47" s="281">
        <f t="shared" si="1"/>
        <v>45909</v>
      </c>
      <c r="E47" s="281">
        <f>[1]ActualDeliveries!E$154</f>
        <v>2503</v>
      </c>
      <c r="F47" s="283">
        <f>[1]ActualDeliveries!E$155</f>
        <v>0</v>
      </c>
      <c r="G47" s="283">
        <f>[1]ActualDeliveries!E$156</f>
        <v>0</v>
      </c>
      <c r="H47" s="321">
        <f>[1]ActualDeliveries!E$157</f>
        <v>4</v>
      </c>
      <c r="I47" s="281">
        <f>[1]ActualDeliveries!E$158</f>
        <v>259</v>
      </c>
      <c r="J47" s="283">
        <f>[1]ActualDeliveries!E$159</f>
        <v>0</v>
      </c>
      <c r="K47" s="281">
        <f t="shared" si="2"/>
        <v>2766</v>
      </c>
      <c r="L47" s="57"/>
      <c r="M47" s="57"/>
      <c r="N47" s="57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  <c r="HX47" s="49"/>
      <c r="HY47" s="49"/>
      <c r="HZ47" s="49"/>
      <c r="IA47" s="49"/>
      <c r="IB47" s="49"/>
      <c r="IC47" s="49"/>
      <c r="ID47" s="49"/>
      <c r="IE47" s="49"/>
      <c r="IF47" s="49"/>
      <c r="IG47" s="49"/>
    </row>
    <row r="48" spans="1:241" ht="17.5" x14ac:dyDescent="0.45">
      <c r="A48" s="269" t="s">
        <v>82</v>
      </c>
      <c r="B48" s="281">
        <f t="shared" ref="B48:B55" si="3">$B$58</f>
        <v>15626</v>
      </c>
      <c r="C48" s="281">
        <f t="shared" ref="C48:C55" si="4">$C$58</f>
        <v>5603.4285714285716</v>
      </c>
      <c r="D48" s="281">
        <f t="shared" si="1"/>
        <v>21229.428571428572</v>
      </c>
      <c r="E48" s="281">
        <f t="shared" ref="E48:E55" si="5">$E$58</f>
        <v>2490.7142857142858</v>
      </c>
      <c r="F48" s="281">
        <v>0</v>
      </c>
      <c r="G48" s="281">
        <v>0</v>
      </c>
      <c r="H48" s="281">
        <f t="shared" ref="H48:H55" si="6">$H$58</f>
        <v>3.1428571428571428</v>
      </c>
      <c r="I48" s="281">
        <f t="shared" ref="I48:I55" si="7">$I$58</f>
        <v>254.28571428571428</v>
      </c>
      <c r="J48" s="281">
        <v>0</v>
      </c>
      <c r="K48" s="281">
        <f t="shared" si="2"/>
        <v>2748.1428571428573</v>
      </c>
      <c r="L48" s="57"/>
      <c r="M48" s="57"/>
      <c r="N48" s="57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  <c r="HX48" s="49"/>
      <c r="HY48" s="49"/>
      <c r="HZ48" s="49"/>
      <c r="IA48" s="49"/>
      <c r="IB48" s="49"/>
      <c r="IC48" s="49"/>
      <c r="ID48" s="49"/>
      <c r="IE48" s="49"/>
      <c r="IF48" s="49"/>
      <c r="IG48" s="49"/>
    </row>
    <row r="49" spans="1:241" ht="17.5" x14ac:dyDescent="0.45">
      <c r="A49" s="269" t="s">
        <v>83</v>
      </c>
      <c r="B49" s="281">
        <f t="shared" si="3"/>
        <v>15626</v>
      </c>
      <c r="C49" s="281">
        <f t="shared" si="4"/>
        <v>5603.4285714285716</v>
      </c>
      <c r="D49" s="281">
        <f t="shared" si="1"/>
        <v>21229.428571428572</v>
      </c>
      <c r="E49" s="281">
        <f t="shared" si="5"/>
        <v>2490.7142857142858</v>
      </c>
      <c r="F49" s="281">
        <v>0</v>
      </c>
      <c r="G49" s="281">
        <v>0</v>
      </c>
      <c r="H49" s="281">
        <f t="shared" si="6"/>
        <v>3.1428571428571428</v>
      </c>
      <c r="I49" s="281">
        <f t="shared" si="7"/>
        <v>254.28571428571428</v>
      </c>
      <c r="J49" s="281">
        <v>0</v>
      </c>
      <c r="K49" s="281">
        <f t="shared" si="2"/>
        <v>2748.1428571428573</v>
      </c>
      <c r="L49" s="57"/>
      <c r="M49" s="57"/>
      <c r="N49" s="57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  <c r="IA49" s="49"/>
      <c r="IB49" s="49"/>
      <c r="IC49" s="49"/>
      <c r="ID49" s="49"/>
      <c r="IE49" s="49"/>
      <c r="IF49" s="49"/>
      <c r="IG49" s="49"/>
    </row>
    <row r="50" spans="1:241" ht="17.5" x14ac:dyDescent="0.45">
      <c r="A50" s="269" t="s">
        <v>84</v>
      </c>
      <c r="B50" s="281">
        <f t="shared" si="3"/>
        <v>15626</v>
      </c>
      <c r="C50" s="281">
        <f t="shared" si="4"/>
        <v>5603.4285714285716</v>
      </c>
      <c r="D50" s="281">
        <f t="shared" si="1"/>
        <v>21229.428571428572</v>
      </c>
      <c r="E50" s="281">
        <f t="shared" si="5"/>
        <v>2490.7142857142858</v>
      </c>
      <c r="F50" s="281">
        <v>0</v>
      </c>
      <c r="G50" s="281">
        <v>0</v>
      </c>
      <c r="H50" s="281">
        <f t="shared" si="6"/>
        <v>3.1428571428571428</v>
      </c>
      <c r="I50" s="281">
        <f t="shared" si="7"/>
        <v>254.28571428571428</v>
      </c>
      <c r="J50" s="281">
        <v>0</v>
      </c>
      <c r="K50" s="281">
        <f t="shared" si="2"/>
        <v>2748.1428571428573</v>
      </c>
      <c r="L50" s="57"/>
      <c r="M50" s="57"/>
      <c r="N50" s="57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  <c r="ID50" s="49"/>
      <c r="IE50" s="49"/>
      <c r="IF50" s="49"/>
      <c r="IG50" s="49"/>
    </row>
    <row r="51" spans="1:241" ht="17.5" x14ac:dyDescent="0.45">
      <c r="A51" s="269" t="s">
        <v>85</v>
      </c>
      <c r="B51" s="281">
        <f t="shared" si="3"/>
        <v>15626</v>
      </c>
      <c r="C51" s="281">
        <f t="shared" si="4"/>
        <v>5603.4285714285716</v>
      </c>
      <c r="D51" s="281">
        <f t="shared" si="1"/>
        <v>21229.428571428572</v>
      </c>
      <c r="E51" s="281">
        <f t="shared" si="5"/>
        <v>2490.7142857142858</v>
      </c>
      <c r="F51" s="281">
        <f t="shared" ref="F51:F56" si="8">+F$58</f>
        <v>1</v>
      </c>
      <c r="G51" s="281">
        <f t="shared" ref="G51:G55" si="9">$G$58</f>
        <v>70</v>
      </c>
      <c r="H51" s="281">
        <f t="shared" si="6"/>
        <v>3.1428571428571428</v>
      </c>
      <c r="I51" s="281">
        <f t="shared" si="7"/>
        <v>254.28571428571428</v>
      </c>
      <c r="J51" s="281">
        <f t="shared" ref="J51:J56" si="10">+J$58</f>
        <v>19.285714285714285</v>
      </c>
      <c r="K51" s="281">
        <f t="shared" si="2"/>
        <v>2838.4285714285716</v>
      </c>
      <c r="L51" s="57"/>
      <c r="M51" s="57"/>
      <c r="N51" s="57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  <c r="IA51" s="49"/>
      <c r="IB51" s="49"/>
      <c r="IC51" s="49"/>
      <c r="ID51" s="49"/>
      <c r="IE51" s="49"/>
      <c r="IF51" s="49"/>
      <c r="IG51" s="49"/>
    </row>
    <row r="52" spans="1:241" ht="17.5" x14ac:dyDescent="0.45">
      <c r="A52" s="269" t="s">
        <v>86</v>
      </c>
      <c r="B52" s="281">
        <f t="shared" si="3"/>
        <v>15626</v>
      </c>
      <c r="C52" s="281">
        <f t="shared" si="4"/>
        <v>5603.4285714285716</v>
      </c>
      <c r="D52" s="281">
        <f t="shared" si="1"/>
        <v>21229.428571428572</v>
      </c>
      <c r="E52" s="281">
        <f t="shared" si="5"/>
        <v>2490.7142857142858</v>
      </c>
      <c r="F52" s="281">
        <f t="shared" si="8"/>
        <v>1</v>
      </c>
      <c r="G52" s="281">
        <f t="shared" si="9"/>
        <v>70</v>
      </c>
      <c r="H52" s="281">
        <f t="shared" si="6"/>
        <v>3.1428571428571428</v>
      </c>
      <c r="I52" s="281">
        <f t="shared" si="7"/>
        <v>254.28571428571428</v>
      </c>
      <c r="J52" s="281">
        <f t="shared" si="10"/>
        <v>19.285714285714285</v>
      </c>
      <c r="K52" s="281">
        <f t="shared" si="2"/>
        <v>2838.4285714285716</v>
      </c>
      <c r="L52" s="57"/>
      <c r="M52" s="57"/>
      <c r="N52" s="57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  <c r="HX52" s="49"/>
      <c r="HY52" s="49"/>
      <c r="HZ52" s="49"/>
      <c r="IA52" s="49"/>
      <c r="IB52" s="49"/>
      <c r="IC52" s="49"/>
      <c r="ID52" s="49"/>
      <c r="IE52" s="49"/>
      <c r="IF52" s="49"/>
      <c r="IG52" s="49"/>
    </row>
    <row r="53" spans="1:241" ht="17.5" x14ac:dyDescent="0.45">
      <c r="A53" s="269" t="s">
        <v>87</v>
      </c>
      <c r="B53" s="281">
        <f t="shared" si="3"/>
        <v>15626</v>
      </c>
      <c r="C53" s="281">
        <f t="shared" si="4"/>
        <v>5603.4285714285716</v>
      </c>
      <c r="D53" s="281">
        <f t="shared" si="1"/>
        <v>21229.428571428572</v>
      </c>
      <c r="E53" s="281">
        <f t="shared" si="5"/>
        <v>2490.7142857142858</v>
      </c>
      <c r="F53" s="281">
        <f t="shared" si="8"/>
        <v>1</v>
      </c>
      <c r="G53" s="281">
        <f t="shared" si="9"/>
        <v>70</v>
      </c>
      <c r="H53" s="281">
        <f t="shared" si="6"/>
        <v>3.1428571428571428</v>
      </c>
      <c r="I53" s="281">
        <f t="shared" si="7"/>
        <v>254.28571428571428</v>
      </c>
      <c r="J53" s="281">
        <f t="shared" si="10"/>
        <v>19.285714285714285</v>
      </c>
      <c r="K53" s="281">
        <f t="shared" si="2"/>
        <v>2838.4285714285716</v>
      </c>
      <c r="L53" s="57"/>
      <c r="M53" s="57"/>
      <c r="N53" s="57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  <c r="IA53" s="49"/>
      <c r="IB53" s="49"/>
      <c r="IC53" s="49"/>
      <c r="ID53" s="49"/>
      <c r="IE53" s="49"/>
      <c r="IF53" s="49"/>
      <c r="IG53" s="49"/>
    </row>
    <row r="54" spans="1:241" ht="17.5" x14ac:dyDescent="0.45">
      <c r="A54" s="269" t="s">
        <v>88</v>
      </c>
      <c r="B54" s="281">
        <f t="shared" si="3"/>
        <v>15626</v>
      </c>
      <c r="C54" s="281">
        <f t="shared" si="4"/>
        <v>5603.4285714285716</v>
      </c>
      <c r="D54" s="281">
        <f t="shared" si="1"/>
        <v>21229.428571428572</v>
      </c>
      <c r="E54" s="281">
        <f t="shared" si="5"/>
        <v>2490.7142857142858</v>
      </c>
      <c r="F54" s="281">
        <f t="shared" si="8"/>
        <v>1</v>
      </c>
      <c r="G54" s="281">
        <f t="shared" si="9"/>
        <v>70</v>
      </c>
      <c r="H54" s="281">
        <f t="shared" si="6"/>
        <v>3.1428571428571428</v>
      </c>
      <c r="I54" s="281">
        <f t="shared" si="7"/>
        <v>254.28571428571428</v>
      </c>
      <c r="J54" s="281">
        <f t="shared" si="10"/>
        <v>19.285714285714285</v>
      </c>
      <c r="K54" s="281">
        <f t="shared" si="2"/>
        <v>2838.4285714285716</v>
      </c>
      <c r="L54" s="57"/>
      <c r="M54" s="57"/>
      <c r="N54" s="57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48"/>
      <c r="BA54" s="48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  <c r="ID54" s="49"/>
      <c r="IE54" s="49"/>
      <c r="IF54" s="49"/>
      <c r="IG54" s="49"/>
    </row>
    <row r="55" spans="1:241" ht="17.5" x14ac:dyDescent="0.45">
      <c r="A55" s="269" t="s">
        <v>89</v>
      </c>
      <c r="B55" s="281">
        <f t="shared" si="3"/>
        <v>15626</v>
      </c>
      <c r="C55" s="281">
        <f t="shared" si="4"/>
        <v>5603.4285714285716</v>
      </c>
      <c r="D55" s="281">
        <f t="shared" si="1"/>
        <v>21229.428571428572</v>
      </c>
      <c r="E55" s="281">
        <f t="shared" si="5"/>
        <v>2490.7142857142858</v>
      </c>
      <c r="F55" s="281">
        <f t="shared" si="8"/>
        <v>1</v>
      </c>
      <c r="G55" s="281">
        <f t="shared" si="9"/>
        <v>70</v>
      </c>
      <c r="H55" s="281">
        <f t="shared" si="6"/>
        <v>3.1428571428571428</v>
      </c>
      <c r="I55" s="281">
        <f t="shared" si="7"/>
        <v>254.28571428571428</v>
      </c>
      <c r="J55" s="281">
        <f t="shared" si="10"/>
        <v>19.285714285714285</v>
      </c>
      <c r="K55" s="281">
        <f t="shared" si="2"/>
        <v>2838.4285714285716</v>
      </c>
      <c r="L55" s="57"/>
      <c r="M55" s="57"/>
      <c r="N55" s="57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  <c r="IA55" s="49"/>
      <c r="IB55" s="49"/>
      <c r="IC55" s="49"/>
      <c r="ID55" s="49"/>
      <c r="IE55" s="49"/>
      <c r="IF55" s="49"/>
      <c r="IG55" s="49"/>
    </row>
    <row r="56" spans="1:241" ht="18" thickBot="1" x14ac:dyDescent="0.5">
      <c r="A56" s="269" t="s">
        <v>90</v>
      </c>
      <c r="B56" s="281">
        <f>B55</f>
        <v>15626</v>
      </c>
      <c r="C56" s="281">
        <f>C54</f>
        <v>5603.4285714285716</v>
      </c>
      <c r="D56" s="281">
        <f t="shared" si="1"/>
        <v>21229.428571428572</v>
      </c>
      <c r="E56" s="281">
        <f>E54</f>
        <v>2490.7142857142858</v>
      </c>
      <c r="F56" s="281">
        <f t="shared" si="8"/>
        <v>1</v>
      </c>
      <c r="G56" s="281">
        <f>G55</f>
        <v>70</v>
      </c>
      <c r="H56" s="281">
        <f>H54</f>
        <v>3.1428571428571428</v>
      </c>
      <c r="I56" s="281">
        <f>I54</f>
        <v>254.28571428571428</v>
      </c>
      <c r="J56" s="281">
        <f t="shared" si="10"/>
        <v>19.285714285714285</v>
      </c>
      <c r="K56" s="281">
        <f t="shared" si="2"/>
        <v>2838.4285714285716</v>
      </c>
      <c r="L56" s="57"/>
      <c r="M56" s="57"/>
      <c r="N56" s="57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48"/>
      <c r="BA56" s="48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  <c r="HX56" s="49"/>
      <c r="HY56" s="49"/>
      <c r="HZ56" s="49"/>
      <c r="IA56" s="49"/>
      <c r="IB56" s="49"/>
      <c r="IC56" s="49"/>
      <c r="ID56" s="49"/>
      <c r="IE56" s="49"/>
      <c r="IF56" s="49"/>
      <c r="IG56" s="49"/>
    </row>
    <row r="57" spans="1:241" ht="18.5" x14ac:dyDescent="0.45">
      <c r="A57" s="269" t="s">
        <v>91</v>
      </c>
      <c r="B57" s="285">
        <f t="shared" ref="B57:K57" si="11">SUM(B7:B56)</f>
        <v>782364</v>
      </c>
      <c r="C57" s="285">
        <f t="shared" si="11"/>
        <v>180512.85714285722</v>
      </c>
      <c r="D57" s="285">
        <f t="shared" si="11"/>
        <v>962876.85714285669</v>
      </c>
      <c r="E57" s="285">
        <f t="shared" si="11"/>
        <v>292144.42857142835</v>
      </c>
      <c r="F57" s="285">
        <f t="shared" si="11"/>
        <v>120</v>
      </c>
      <c r="G57" s="285">
        <f t="shared" si="11"/>
        <v>5744</v>
      </c>
      <c r="H57" s="285">
        <f t="shared" si="11"/>
        <v>187.28571428571425</v>
      </c>
      <c r="I57" s="285">
        <f t="shared" si="11"/>
        <v>13347.571428571424</v>
      </c>
      <c r="J57" s="285">
        <f t="shared" si="11"/>
        <v>1038.714285714286</v>
      </c>
      <c r="K57" s="285">
        <f t="shared" si="11"/>
        <v>312582</v>
      </c>
      <c r="L57" s="87"/>
      <c r="M57" s="87"/>
      <c r="N57" s="87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  <c r="ID57" s="21"/>
      <c r="IE57" s="21"/>
      <c r="IF57" s="21"/>
      <c r="IG57" s="21"/>
    </row>
    <row r="58" spans="1:241" ht="18.5" x14ac:dyDescent="0.45">
      <c r="A58" s="269" t="str">
        <f>Page_14!A58</f>
        <v>7 - Year Hist Avg (A-12)</v>
      </c>
      <c r="B58" s="281">
        <f>AVERAGE(B41:B47)</f>
        <v>15626</v>
      </c>
      <c r="C58" s="281">
        <f>AVERAGE(C41:C47)</f>
        <v>5603.4285714285716</v>
      </c>
      <c r="D58" s="281">
        <f>SUM(B58:C58)</f>
        <v>21229.428571428572</v>
      </c>
      <c r="E58" s="281">
        <f>AVERAGE(E41:E47)</f>
        <v>2490.7142857142858</v>
      </c>
      <c r="F58" s="281">
        <f>7/7</f>
        <v>1</v>
      </c>
      <c r="G58" s="281">
        <f>490/7</f>
        <v>70</v>
      </c>
      <c r="H58" s="281">
        <f>AVERAGE(H41:H47)</f>
        <v>3.1428571428571428</v>
      </c>
      <c r="I58" s="281">
        <f>AVERAGE(I41:I47)</f>
        <v>254.28571428571428</v>
      </c>
      <c r="J58" s="281">
        <f>135/7</f>
        <v>19.285714285714285</v>
      </c>
      <c r="K58" s="281">
        <f>SUM(E58:J58)</f>
        <v>2838.4285714285716</v>
      </c>
      <c r="L58" s="87"/>
      <c r="M58" s="87"/>
      <c r="N58" s="87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  <c r="IA58" s="21"/>
      <c r="IB58" s="21"/>
      <c r="IC58" s="21"/>
      <c r="ID58" s="21"/>
      <c r="IE58" s="21"/>
      <c r="IF58" s="21"/>
      <c r="IG58" s="21"/>
    </row>
    <row r="59" spans="1:241" s="54" customFormat="1" ht="17.5" x14ac:dyDescent="0.45">
      <c r="A59" s="272" t="str">
        <f>Page_14!A59</f>
        <v>Projected Del. (A-2ba)</v>
      </c>
      <c r="B59" s="281">
        <f>SUM(B49:B56)</f>
        <v>125008</v>
      </c>
      <c r="C59" s="281">
        <f>SUM(C49:C56)</f>
        <v>44827.428571428572</v>
      </c>
      <c r="D59" s="281">
        <f>SUM(B59:C59)</f>
        <v>169835.42857142858</v>
      </c>
      <c r="E59" s="281">
        <f>SUM(E49:E56)</f>
        <v>19925.714285714286</v>
      </c>
      <c r="F59" s="281">
        <f t="shared" ref="F59:J59" si="12">SUM(F49:F56)</f>
        <v>6</v>
      </c>
      <c r="G59" s="281">
        <f t="shared" si="12"/>
        <v>420</v>
      </c>
      <c r="H59" s="281">
        <f t="shared" si="12"/>
        <v>25.142857142857142</v>
      </c>
      <c r="I59" s="281">
        <f t="shared" si="12"/>
        <v>2034.285714285714</v>
      </c>
      <c r="J59" s="281">
        <f t="shared" si="12"/>
        <v>115.71428571428569</v>
      </c>
      <c r="K59" s="281">
        <f>SUM(E59:J59)</f>
        <v>22526.857142857145</v>
      </c>
      <c r="L59" s="51"/>
      <c r="M59" s="51"/>
      <c r="N59" s="51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</row>
    <row r="60" spans="1:241" x14ac:dyDescent="0.35">
      <c r="A60" s="8"/>
      <c r="B60" s="5"/>
      <c r="C60" s="5"/>
      <c r="D60" s="5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</row>
    <row r="61" spans="1:241" x14ac:dyDescent="0.35">
      <c r="A61" s="8"/>
      <c r="B61" s="5"/>
      <c r="C61" s="5"/>
      <c r="D61" s="5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</row>
    <row r="62" spans="1:241" x14ac:dyDescent="0.35">
      <c r="A62" s="8"/>
      <c r="B62" s="5"/>
      <c r="C62" s="5"/>
      <c r="D62" s="5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</row>
    <row r="63" spans="1:241" x14ac:dyDescent="0.35">
      <c r="A63" s="8"/>
      <c r="B63" s="5"/>
      <c r="C63" s="5"/>
      <c r="D63" s="5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</row>
    <row r="64" spans="1:241" x14ac:dyDescent="0.35">
      <c r="A64" s="8"/>
      <c r="B64" s="5"/>
      <c r="C64" s="5"/>
      <c r="D64" s="5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</row>
    <row r="65" spans="1:53" x14ac:dyDescent="0.35">
      <c r="A65" s="8"/>
      <c r="B65" s="5"/>
      <c r="C65" s="5"/>
      <c r="D65" s="5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</row>
    <row r="66" spans="1:53" x14ac:dyDescent="0.35">
      <c r="A66" s="8"/>
      <c r="B66" s="5"/>
      <c r="C66" s="5"/>
      <c r="D66" s="5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</row>
    <row r="67" spans="1:53" x14ac:dyDescent="0.35"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</row>
    <row r="68" spans="1:53" x14ac:dyDescent="0.35"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</row>
    <row r="69" spans="1:53" x14ac:dyDescent="0.35"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</row>
    <row r="70" spans="1:53" x14ac:dyDescent="0.35"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</row>
    <row r="71" spans="1:53" x14ac:dyDescent="0.35"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</row>
    <row r="72" spans="1:53" x14ac:dyDescent="0.35"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</row>
    <row r="73" spans="1:53" x14ac:dyDescent="0.35"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</row>
    <row r="74" spans="1:53" x14ac:dyDescent="0.35"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</row>
    <row r="75" spans="1:53" x14ac:dyDescent="0.35"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</row>
    <row r="76" spans="1:53" x14ac:dyDescent="0.35"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</row>
    <row r="77" spans="1:53" x14ac:dyDescent="0.35"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</row>
    <row r="78" spans="1:53" x14ac:dyDescent="0.35"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</row>
    <row r="79" spans="1:53" x14ac:dyDescent="0.35"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</row>
    <row r="80" spans="1:53" x14ac:dyDescent="0.35"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</row>
    <row r="81" spans="5:53" x14ac:dyDescent="0.35"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</row>
    <row r="82" spans="5:53" x14ac:dyDescent="0.35"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</row>
  </sheetData>
  <printOptions horizontalCentered="1"/>
  <pageMargins left="0.25" right="0.25" top="0.5" bottom="0.5" header="0.3" footer="0.3"/>
  <pageSetup scale="47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pdfPage12">
                <anchor moveWithCells="1" sizeWithCells="1">
                  <from>
                    <xdr:col>0</xdr:col>
                    <xdr:colOff>31750</xdr:colOff>
                    <xdr:row>0</xdr:row>
                    <xdr:rowOff>12700</xdr:rowOff>
                  </from>
                  <to>
                    <xdr:col>0</xdr:col>
                    <xdr:colOff>50800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AA8EC-C1C8-478B-B902-2B190C4D11A6}">
  <sheetPr codeName="Sheet39"/>
  <dimension ref="A1:DH59"/>
  <sheetViews>
    <sheetView topLeftCell="A37" zoomScale="90" zoomScaleNormal="90" zoomScaleSheetLayoutView="55" workbookViewId="0">
      <selection activeCell="A14" sqref="A14"/>
    </sheetView>
  </sheetViews>
  <sheetFormatPr defaultColWidth="9.58203125" defaultRowHeight="15.5" x14ac:dyDescent="0.35"/>
  <cols>
    <col min="1" max="1" width="40.58203125" style="9" customWidth="1"/>
    <col min="2" max="102" width="18.83203125" customWidth="1"/>
    <col min="105" max="112" width="14.75" customWidth="1"/>
  </cols>
  <sheetData>
    <row r="1" spans="1:112" s="2" customFormat="1" ht="21" x14ac:dyDescent="0.55000000000000004">
      <c r="A1" s="286" t="s">
        <v>0</v>
      </c>
      <c r="B1" s="275"/>
      <c r="C1" s="275"/>
      <c r="D1" s="280"/>
      <c r="E1" s="273"/>
      <c r="F1" s="275"/>
      <c r="G1" s="251"/>
      <c r="H1" s="324"/>
      <c r="I1" s="273"/>
      <c r="J1" s="275"/>
      <c r="K1" s="275"/>
      <c r="L1" s="275"/>
      <c r="M1" s="275"/>
      <c r="N1" s="275"/>
      <c r="O1" s="275"/>
      <c r="P1" s="275"/>
      <c r="Q1" s="273"/>
      <c r="R1" s="273"/>
      <c r="S1" s="273"/>
      <c r="T1" s="273"/>
      <c r="U1" s="273"/>
      <c r="V1" s="275"/>
      <c r="W1" s="275"/>
      <c r="X1" s="324"/>
      <c r="Y1" s="273"/>
      <c r="Z1" s="275"/>
      <c r="AA1" s="275"/>
      <c r="AB1" s="275"/>
      <c r="AC1" s="275"/>
      <c r="AD1" s="275"/>
      <c r="AE1" s="273"/>
      <c r="AF1" s="273"/>
      <c r="AG1" s="273"/>
      <c r="AH1" s="273"/>
      <c r="AI1" s="273"/>
      <c r="AJ1" s="275"/>
      <c r="AK1" s="324"/>
      <c r="AL1" s="273"/>
      <c r="AM1" s="275"/>
      <c r="AN1" s="275"/>
      <c r="AO1" s="275"/>
      <c r="AP1" s="275"/>
      <c r="AQ1" s="275"/>
      <c r="AR1" s="275"/>
      <c r="AS1" s="274"/>
      <c r="AT1" s="273"/>
      <c r="AU1" s="324"/>
      <c r="AV1" s="324"/>
      <c r="AW1" s="273"/>
      <c r="AX1" s="275"/>
      <c r="AY1" s="273"/>
      <c r="AZ1" s="275"/>
      <c r="BA1" s="275"/>
      <c r="BB1" s="275"/>
      <c r="BC1" s="275"/>
      <c r="BD1" s="275"/>
      <c r="BE1" s="273"/>
      <c r="BF1" s="275"/>
      <c r="BG1" s="275"/>
      <c r="BH1" s="275"/>
      <c r="BI1" s="275"/>
      <c r="BJ1" s="275"/>
      <c r="BK1" s="275"/>
      <c r="BL1" s="273"/>
      <c r="BM1" s="275"/>
      <c r="BN1" s="275"/>
      <c r="BO1" s="275"/>
      <c r="BP1" s="275"/>
      <c r="BQ1" s="275"/>
      <c r="BR1" s="275"/>
      <c r="BS1" s="275"/>
      <c r="BT1" s="324"/>
      <c r="BU1" s="273"/>
      <c r="BV1" s="275"/>
      <c r="BW1" s="275"/>
      <c r="BX1" s="275"/>
      <c r="BY1" s="275"/>
      <c r="BZ1" s="275"/>
      <c r="CA1" s="275"/>
      <c r="CB1" s="324"/>
      <c r="CC1" s="273"/>
      <c r="CD1" s="274"/>
      <c r="CE1" s="274"/>
      <c r="CF1" s="274"/>
      <c r="CG1" s="274"/>
      <c r="CH1" s="274"/>
      <c r="CI1" s="274"/>
      <c r="CJ1" s="274"/>
      <c r="CK1" s="274"/>
      <c r="CL1" s="275"/>
      <c r="CM1" s="275"/>
      <c r="CN1" s="275"/>
      <c r="CO1" s="275"/>
      <c r="CP1" s="275"/>
      <c r="CQ1" s="275"/>
      <c r="CR1" s="275"/>
      <c r="CS1" s="275"/>
      <c r="CT1" s="275"/>
      <c r="CU1" s="275"/>
      <c r="CV1" s="275"/>
      <c r="CW1" s="275"/>
      <c r="CX1" s="324"/>
    </row>
    <row r="2" spans="1:112" s="2" customFormat="1" ht="21" x14ac:dyDescent="0.55000000000000004">
      <c r="A2" s="265" t="s">
        <v>1</v>
      </c>
      <c r="B2" s="274"/>
      <c r="C2" s="322"/>
      <c r="D2" s="322"/>
      <c r="E2" s="325"/>
      <c r="F2" s="322"/>
      <c r="G2" s="322"/>
      <c r="H2" s="325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5"/>
      <c r="Y2" s="322"/>
      <c r="Z2" s="322"/>
      <c r="AA2" s="322"/>
      <c r="AB2" s="322"/>
      <c r="AC2" s="322"/>
      <c r="AD2" s="322"/>
      <c r="AE2" s="322"/>
      <c r="AF2" s="322"/>
      <c r="AG2" s="322"/>
      <c r="AH2" s="275"/>
      <c r="AI2" s="275"/>
      <c r="AJ2" s="275"/>
      <c r="AK2" s="280"/>
      <c r="AL2" s="275"/>
      <c r="AM2" s="275"/>
      <c r="AN2" s="275"/>
      <c r="AO2" s="275"/>
      <c r="AP2" s="275"/>
      <c r="AQ2" s="275"/>
      <c r="AR2" s="322"/>
      <c r="AS2" s="326"/>
      <c r="AT2" s="322"/>
      <c r="AU2" s="325"/>
      <c r="AV2" s="325"/>
      <c r="AW2" s="325"/>
      <c r="AX2" s="322"/>
      <c r="AY2" s="325"/>
      <c r="AZ2" s="325"/>
      <c r="BA2" s="325"/>
      <c r="BB2" s="325"/>
      <c r="BC2" s="325"/>
      <c r="BD2" s="322"/>
      <c r="BE2" s="322"/>
      <c r="BF2" s="322"/>
      <c r="BG2" s="322"/>
      <c r="BH2" s="322"/>
      <c r="BI2" s="322"/>
      <c r="BJ2" s="322"/>
      <c r="BK2" s="322"/>
      <c r="BL2" s="322"/>
      <c r="BM2" s="322"/>
      <c r="BN2" s="322"/>
      <c r="BO2" s="322"/>
      <c r="BP2" s="275"/>
      <c r="BQ2" s="275"/>
      <c r="BR2" s="275"/>
      <c r="BS2" s="275"/>
      <c r="BT2" s="280"/>
      <c r="BU2" s="275"/>
      <c r="BV2" s="275"/>
      <c r="BW2" s="275"/>
      <c r="BX2" s="275"/>
      <c r="BY2" s="275"/>
      <c r="BZ2" s="275"/>
      <c r="CA2" s="275"/>
      <c r="CB2" s="280"/>
      <c r="CC2" s="275"/>
      <c r="CD2" s="326"/>
      <c r="CE2" s="326"/>
      <c r="CF2" s="326"/>
      <c r="CG2" s="326"/>
      <c r="CH2" s="326"/>
      <c r="CI2" s="326"/>
      <c r="CJ2" s="326"/>
      <c r="CK2" s="326"/>
      <c r="CL2" s="275"/>
      <c r="CM2" s="275"/>
      <c r="CN2" s="275"/>
      <c r="CO2" s="275"/>
      <c r="CP2" s="275"/>
      <c r="CQ2" s="275"/>
      <c r="CR2" s="275"/>
      <c r="CS2" s="275"/>
      <c r="CT2" s="275"/>
      <c r="CU2" s="275"/>
      <c r="CV2" s="275"/>
      <c r="CW2" s="275"/>
      <c r="CX2" s="280"/>
    </row>
    <row r="3" spans="1:112" s="2" customFormat="1" ht="21" x14ac:dyDescent="0.55000000000000004">
      <c r="A3" s="335" t="s">
        <v>2</v>
      </c>
      <c r="B3" s="274"/>
      <c r="C3" s="322"/>
      <c r="D3" s="322"/>
      <c r="E3" s="325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322"/>
      <c r="AE3" s="322"/>
      <c r="AF3" s="322"/>
      <c r="AG3" s="322"/>
      <c r="AH3" s="275"/>
      <c r="AI3" s="275"/>
      <c r="AJ3" s="275"/>
      <c r="AK3" s="275"/>
      <c r="AL3" s="275"/>
      <c r="AM3" s="275"/>
      <c r="AN3" s="275"/>
      <c r="AO3" s="275"/>
      <c r="AP3" s="275"/>
      <c r="AQ3" s="275"/>
      <c r="AR3" s="322"/>
      <c r="AS3" s="326"/>
      <c r="AT3" s="322"/>
      <c r="AU3" s="322"/>
      <c r="AV3" s="322"/>
      <c r="AW3" s="325"/>
      <c r="AX3" s="322"/>
      <c r="AY3" s="325"/>
      <c r="AZ3" s="325"/>
      <c r="BA3" s="325"/>
      <c r="BB3" s="325"/>
      <c r="BC3" s="325"/>
      <c r="BD3" s="322"/>
      <c r="BE3" s="322"/>
      <c r="BF3" s="322"/>
      <c r="BG3" s="322"/>
      <c r="BH3" s="322"/>
      <c r="BI3" s="322"/>
      <c r="BJ3" s="322"/>
      <c r="BK3" s="322"/>
      <c r="BL3" s="322"/>
      <c r="BM3" s="322"/>
      <c r="BN3" s="322"/>
      <c r="BO3" s="322"/>
      <c r="BP3" s="275"/>
      <c r="BQ3" s="275"/>
      <c r="BR3" s="275"/>
      <c r="BS3" s="275"/>
      <c r="BT3" s="275"/>
      <c r="BU3" s="275"/>
      <c r="BV3" s="275"/>
      <c r="BW3" s="275"/>
      <c r="BX3" s="275"/>
      <c r="BY3" s="275"/>
      <c r="BZ3" s="275"/>
      <c r="CA3" s="275"/>
      <c r="CB3" s="275"/>
      <c r="CC3" s="275"/>
      <c r="CD3" s="326"/>
      <c r="CE3" s="326"/>
      <c r="CF3" s="326"/>
      <c r="CG3" s="326"/>
      <c r="CH3" s="326"/>
      <c r="CI3" s="326"/>
      <c r="CJ3" s="326"/>
      <c r="CK3" s="326"/>
      <c r="CL3" s="275"/>
      <c r="CM3" s="275"/>
      <c r="CN3" s="275"/>
      <c r="CO3" s="275"/>
      <c r="CP3" s="275"/>
      <c r="CQ3" s="275"/>
      <c r="CR3" s="275"/>
      <c r="CS3" s="275"/>
      <c r="CT3" s="275"/>
      <c r="CU3" s="275"/>
      <c r="CV3" s="275"/>
      <c r="CW3" s="275"/>
      <c r="CX3" s="275"/>
    </row>
    <row r="4" spans="1:112" s="2" customFormat="1" ht="84" x14ac:dyDescent="0.55000000000000004">
      <c r="A4" s="335" t="s">
        <v>3</v>
      </c>
      <c r="B4" s="274"/>
      <c r="C4" s="322"/>
      <c r="D4" s="322"/>
      <c r="E4" s="325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275"/>
      <c r="AI4" s="275"/>
      <c r="AJ4" s="275"/>
      <c r="AK4" s="275"/>
      <c r="AL4" s="275"/>
      <c r="AM4" s="275"/>
      <c r="AN4" s="275"/>
      <c r="AO4" s="275"/>
      <c r="AP4" s="275"/>
      <c r="AQ4" s="275"/>
      <c r="AR4" s="322"/>
      <c r="AS4" s="326"/>
      <c r="AT4" s="322"/>
      <c r="AU4" s="322"/>
      <c r="AV4" s="322"/>
      <c r="AW4" s="325"/>
      <c r="AX4" s="322"/>
      <c r="AY4" s="325"/>
      <c r="AZ4" s="325"/>
      <c r="BA4" s="325"/>
      <c r="BB4" s="325"/>
      <c r="BC4" s="325"/>
      <c r="BD4" s="322"/>
      <c r="BE4" s="322"/>
      <c r="BF4" s="322"/>
      <c r="BG4" s="322"/>
      <c r="BH4" s="322"/>
      <c r="BI4" s="322"/>
      <c r="BJ4" s="322"/>
      <c r="BK4" s="322"/>
      <c r="BL4" s="322"/>
      <c r="BM4" s="322"/>
      <c r="BN4" s="322"/>
      <c r="BO4" s="322"/>
      <c r="BP4" s="275"/>
      <c r="BQ4" s="275"/>
      <c r="BR4" s="275"/>
      <c r="BS4" s="275"/>
      <c r="BT4" s="275"/>
      <c r="BU4" s="275"/>
      <c r="BV4" s="275"/>
      <c r="BW4" s="275"/>
      <c r="BX4" s="275"/>
      <c r="BY4" s="275"/>
      <c r="BZ4" s="275"/>
      <c r="CA4" s="275"/>
      <c r="CB4" s="275"/>
      <c r="CC4" s="275"/>
      <c r="CD4" s="326"/>
      <c r="CE4" s="326"/>
      <c r="CF4" s="326"/>
      <c r="CG4" s="326"/>
      <c r="CH4" s="326"/>
      <c r="CI4" s="326"/>
      <c r="CJ4" s="326"/>
      <c r="CK4" s="326"/>
      <c r="CL4" s="275"/>
      <c r="CM4" s="275"/>
      <c r="CN4" s="275"/>
      <c r="CO4" s="275"/>
      <c r="CP4" s="275"/>
      <c r="CQ4" s="275"/>
      <c r="CR4" s="275"/>
      <c r="CS4" s="275"/>
      <c r="CT4" s="275"/>
      <c r="CU4" s="275"/>
      <c r="CV4" s="275"/>
      <c r="CW4" s="275"/>
      <c r="CX4" s="275"/>
    </row>
    <row r="5" spans="1:112" s="2" customFormat="1" ht="63" x14ac:dyDescent="0.55000000000000004">
      <c r="A5" s="335" t="s">
        <v>4</v>
      </c>
      <c r="B5" s="273"/>
      <c r="C5" s="273"/>
      <c r="D5" s="327"/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3"/>
      <c r="P5" s="273"/>
      <c r="Q5" s="328">
        <v>10000</v>
      </c>
      <c r="R5" s="328"/>
      <c r="S5" s="328"/>
      <c r="T5" s="328"/>
      <c r="U5" s="328"/>
      <c r="V5" s="273"/>
      <c r="W5" s="273"/>
      <c r="X5" s="273"/>
      <c r="Y5" s="328">
        <v>10000</v>
      </c>
      <c r="Z5" s="273"/>
      <c r="AA5" s="273"/>
      <c r="AB5" s="273"/>
      <c r="AC5" s="273"/>
      <c r="AD5" s="273"/>
      <c r="AE5" s="273"/>
      <c r="AF5" s="273"/>
      <c r="AG5" s="273"/>
      <c r="AH5" s="273"/>
      <c r="AI5" s="273"/>
      <c r="AJ5" s="273"/>
      <c r="AK5" s="273"/>
      <c r="AL5" s="273"/>
      <c r="AM5" s="273"/>
      <c r="AN5" s="273"/>
      <c r="AO5" s="273"/>
      <c r="AP5" s="273"/>
      <c r="AQ5" s="273"/>
      <c r="AR5" s="273"/>
      <c r="AS5" s="274"/>
      <c r="AT5" s="273"/>
      <c r="AU5" s="273"/>
      <c r="AV5" s="273"/>
      <c r="AW5" s="273"/>
      <c r="AX5" s="273"/>
      <c r="AY5" s="273"/>
      <c r="AZ5" s="273"/>
      <c r="BA5" s="273"/>
      <c r="BB5" s="273"/>
      <c r="BC5" s="273"/>
      <c r="BD5" s="273"/>
      <c r="BE5" s="273"/>
      <c r="BF5" s="273"/>
      <c r="BG5" s="273"/>
      <c r="BH5" s="273"/>
      <c r="BI5" s="273"/>
      <c r="BJ5" s="273"/>
      <c r="BK5" s="273"/>
      <c r="BL5" s="273"/>
      <c r="BM5" s="273"/>
      <c r="BN5" s="273"/>
      <c r="BO5" s="273"/>
      <c r="BP5" s="273"/>
      <c r="BQ5" s="273"/>
      <c r="BR5" s="273"/>
      <c r="BS5" s="273"/>
      <c r="BT5" s="273"/>
      <c r="BU5" s="273"/>
      <c r="BV5" s="273"/>
      <c r="BW5" s="273"/>
      <c r="BX5" s="329"/>
      <c r="BY5" s="273"/>
      <c r="BZ5" s="273"/>
      <c r="CA5" s="273"/>
      <c r="CB5" s="273"/>
      <c r="CC5" s="273"/>
      <c r="CD5" s="274"/>
      <c r="CE5" s="274"/>
      <c r="CF5" s="274"/>
      <c r="CG5" s="274"/>
      <c r="CH5" s="274"/>
      <c r="CI5" s="274"/>
      <c r="CJ5" s="274"/>
      <c r="CK5" s="274"/>
      <c r="CL5" s="273"/>
      <c r="CM5" s="273"/>
      <c r="CN5" s="273"/>
      <c r="CO5" s="273"/>
      <c r="CP5" s="273"/>
      <c r="CQ5" s="273"/>
      <c r="CR5" s="273"/>
      <c r="CS5" s="273"/>
      <c r="CT5" s="273"/>
      <c r="CU5" s="273"/>
      <c r="CV5" s="273"/>
      <c r="CW5" s="273"/>
      <c r="CX5" s="273"/>
    </row>
    <row r="6" spans="1:112" s="69" customFormat="1" ht="122.5" x14ac:dyDescent="0.35">
      <c r="A6" s="375" t="s">
        <v>34</v>
      </c>
      <c r="B6" s="404" t="s">
        <v>160</v>
      </c>
      <c r="C6" s="405" t="s">
        <v>161</v>
      </c>
      <c r="D6" s="405" t="s">
        <v>162</v>
      </c>
      <c r="E6" s="363" t="s">
        <v>163</v>
      </c>
      <c r="F6" s="405" t="s">
        <v>164</v>
      </c>
      <c r="G6" s="406" t="s">
        <v>165</v>
      </c>
      <c r="H6" s="405" t="s">
        <v>166</v>
      </c>
      <c r="I6" s="407" t="s">
        <v>167</v>
      </c>
      <c r="J6" s="406" t="s">
        <v>168</v>
      </c>
      <c r="K6" s="407" t="s">
        <v>169</v>
      </c>
      <c r="L6" s="405" t="s">
        <v>170</v>
      </c>
      <c r="M6" s="397" t="s">
        <v>171</v>
      </c>
      <c r="N6" s="397" t="s">
        <v>172</v>
      </c>
      <c r="O6" s="397" t="s">
        <v>173</v>
      </c>
      <c r="P6" s="363" t="s">
        <v>174</v>
      </c>
      <c r="Q6" s="363" t="s">
        <v>175</v>
      </c>
      <c r="R6" s="363" t="s">
        <v>176</v>
      </c>
      <c r="S6" s="397" t="s">
        <v>177</v>
      </c>
      <c r="T6" s="397" t="s">
        <v>178</v>
      </c>
      <c r="U6" s="397" t="s">
        <v>179</v>
      </c>
      <c r="V6" s="397" t="s">
        <v>180</v>
      </c>
      <c r="W6" s="363" t="s">
        <v>181</v>
      </c>
      <c r="X6" s="363" t="s">
        <v>182</v>
      </c>
      <c r="Y6" s="363" t="s">
        <v>183</v>
      </c>
      <c r="Z6" s="363" t="s">
        <v>184</v>
      </c>
      <c r="AA6" s="397" t="s">
        <v>185</v>
      </c>
      <c r="AB6" s="363" t="s">
        <v>186</v>
      </c>
      <c r="AC6" s="397" t="s">
        <v>187</v>
      </c>
      <c r="AD6" s="397" t="s">
        <v>188</v>
      </c>
      <c r="AE6" s="397" t="s">
        <v>189</v>
      </c>
      <c r="AF6" s="397" t="s">
        <v>190</v>
      </c>
      <c r="AG6" s="397" t="s">
        <v>191</v>
      </c>
      <c r="AH6" s="397" t="s">
        <v>192</v>
      </c>
      <c r="AI6" s="397" t="s">
        <v>193</v>
      </c>
      <c r="AJ6" s="397" t="s">
        <v>194</v>
      </c>
      <c r="AK6" s="397" t="s">
        <v>195</v>
      </c>
      <c r="AL6" s="397" t="s">
        <v>196</v>
      </c>
      <c r="AM6" s="363" t="s">
        <v>197</v>
      </c>
      <c r="AN6" s="397" t="s">
        <v>198</v>
      </c>
      <c r="AO6" s="363" t="s">
        <v>199</v>
      </c>
      <c r="AP6" s="397" t="s">
        <v>200</v>
      </c>
      <c r="AQ6" s="363" t="s">
        <v>201</v>
      </c>
      <c r="AR6" s="363" t="s">
        <v>202</v>
      </c>
      <c r="AS6" s="363" t="s">
        <v>203</v>
      </c>
      <c r="AT6" s="397" t="s">
        <v>204</v>
      </c>
      <c r="AU6" s="363" t="s">
        <v>205</v>
      </c>
      <c r="AV6" s="397" t="s">
        <v>206</v>
      </c>
      <c r="AW6" s="397" t="s">
        <v>207</v>
      </c>
      <c r="AX6" s="363" t="s">
        <v>208</v>
      </c>
      <c r="AY6" s="363" t="s">
        <v>209</v>
      </c>
      <c r="AZ6" s="397" t="s">
        <v>210</v>
      </c>
      <c r="BA6" s="363" t="s">
        <v>211</v>
      </c>
      <c r="BB6" s="363" t="s">
        <v>212</v>
      </c>
      <c r="BC6" s="363" t="s">
        <v>213</v>
      </c>
      <c r="BD6" s="363" t="s">
        <v>214</v>
      </c>
      <c r="BE6" s="363" t="s">
        <v>215</v>
      </c>
      <c r="BF6" s="363" t="s">
        <v>216</v>
      </c>
      <c r="BG6" s="397" t="s">
        <v>217</v>
      </c>
      <c r="BH6" s="363" t="s">
        <v>218</v>
      </c>
      <c r="BI6" s="363" t="s">
        <v>219</v>
      </c>
      <c r="BJ6" s="363" t="s">
        <v>220</v>
      </c>
      <c r="BK6" s="363" t="s">
        <v>221</v>
      </c>
      <c r="BL6" s="363" t="s">
        <v>222</v>
      </c>
      <c r="BM6" s="363" t="s">
        <v>223</v>
      </c>
      <c r="BN6" s="363" t="s">
        <v>224</v>
      </c>
      <c r="BO6" s="363" t="s">
        <v>225</v>
      </c>
      <c r="BP6" s="363" t="s">
        <v>226</v>
      </c>
      <c r="BQ6" s="363" t="s">
        <v>227</v>
      </c>
      <c r="BR6" s="397" t="s">
        <v>228</v>
      </c>
      <c r="BS6" s="363" t="s">
        <v>229</v>
      </c>
      <c r="BT6" s="363" t="s">
        <v>230</v>
      </c>
      <c r="BU6" s="363" t="s">
        <v>231</v>
      </c>
      <c r="BV6" s="363" t="s">
        <v>232</v>
      </c>
      <c r="BW6" s="363" t="s">
        <v>233</v>
      </c>
      <c r="BX6" s="363" t="s">
        <v>234</v>
      </c>
      <c r="BY6" s="397" t="s">
        <v>235</v>
      </c>
      <c r="BZ6" s="397" t="s">
        <v>236</v>
      </c>
      <c r="CA6" s="363" t="s">
        <v>237</v>
      </c>
      <c r="CB6" s="363" t="s">
        <v>238</v>
      </c>
      <c r="CC6" s="363" t="s">
        <v>239</v>
      </c>
      <c r="CD6" s="363" t="s">
        <v>240</v>
      </c>
      <c r="CE6" s="363" t="s">
        <v>241</v>
      </c>
      <c r="CF6" s="363" t="s">
        <v>242</v>
      </c>
      <c r="CG6" s="363" t="s">
        <v>243</v>
      </c>
      <c r="CH6" s="363" t="s">
        <v>244</v>
      </c>
      <c r="CI6" s="363" t="s">
        <v>245</v>
      </c>
      <c r="CJ6" s="397" t="s">
        <v>246</v>
      </c>
      <c r="CK6" s="363" t="s">
        <v>247</v>
      </c>
      <c r="CL6" s="363" t="s">
        <v>248</v>
      </c>
      <c r="CM6" s="363" t="s">
        <v>249</v>
      </c>
      <c r="CN6" s="363" t="s">
        <v>250</v>
      </c>
      <c r="CO6" s="363" t="s">
        <v>251</v>
      </c>
      <c r="CP6" s="363" t="s">
        <v>252</v>
      </c>
      <c r="CQ6" s="363" t="s">
        <v>253</v>
      </c>
      <c r="CR6" s="363" t="s">
        <v>254</v>
      </c>
      <c r="CS6" s="363" t="s">
        <v>255</v>
      </c>
      <c r="CT6" s="363" t="s">
        <v>256</v>
      </c>
      <c r="CU6" s="397" t="s">
        <v>257</v>
      </c>
      <c r="CV6" s="397" t="s">
        <v>258</v>
      </c>
      <c r="CW6" s="363" t="s">
        <v>259</v>
      </c>
      <c r="CX6" s="363" t="s">
        <v>260</v>
      </c>
      <c r="DA6" s="68"/>
      <c r="DB6" s="88"/>
      <c r="DC6" s="88"/>
      <c r="DD6" s="88"/>
      <c r="DE6" s="88"/>
      <c r="DF6" s="88"/>
      <c r="DG6" s="88"/>
      <c r="DH6" s="88"/>
    </row>
    <row r="7" spans="1:112" ht="17.5" x14ac:dyDescent="0.45">
      <c r="A7" s="269" t="s">
        <v>42</v>
      </c>
      <c r="B7" s="281">
        <v>13</v>
      </c>
      <c r="C7" s="281">
        <v>75</v>
      </c>
      <c r="D7" s="281">
        <v>2684</v>
      </c>
      <c r="E7" s="281">
        <v>48</v>
      </c>
      <c r="F7" s="281">
        <v>2680</v>
      </c>
      <c r="G7" s="281">
        <v>250.79999999999998</v>
      </c>
      <c r="H7" s="281">
        <v>81</v>
      </c>
      <c r="I7" s="281">
        <v>207</v>
      </c>
      <c r="J7" s="281">
        <v>100</v>
      </c>
      <c r="K7" s="281">
        <v>592</v>
      </c>
      <c r="L7" s="281">
        <v>122</v>
      </c>
      <c r="M7" s="330">
        <v>0</v>
      </c>
      <c r="N7" s="281">
        <v>671</v>
      </c>
      <c r="O7" s="281">
        <v>230</v>
      </c>
      <c r="P7" s="281">
        <v>48</v>
      </c>
      <c r="Q7" s="281">
        <v>22</v>
      </c>
      <c r="R7" s="281">
        <v>35</v>
      </c>
      <c r="S7" s="281">
        <v>14</v>
      </c>
      <c r="T7" s="281">
        <v>106</v>
      </c>
      <c r="U7" s="281">
        <v>198</v>
      </c>
      <c r="V7" s="281">
        <v>829</v>
      </c>
      <c r="W7" s="281">
        <v>131</v>
      </c>
      <c r="X7" s="281">
        <v>36</v>
      </c>
      <c r="Y7" s="281">
        <v>24446</v>
      </c>
      <c r="Z7" s="281">
        <v>7</v>
      </c>
      <c r="AA7" s="281">
        <v>50</v>
      </c>
      <c r="AB7" s="281">
        <v>87</v>
      </c>
      <c r="AC7" s="281">
        <v>760</v>
      </c>
      <c r="AD7" s="281">
        <v>119073</v>
      </c>
      <c r="AE7" s="281">
        <v>135</v>
      </c>
      <c r="AF7" s="281">
        <v>1150</v>
      </c>
      <c r="AG7" s="281">
        <v>28</v>
      </c>
      <c r="AH7" s="288">
        <v>15.2</v>
      </c>
      <c r="AI7" s="287">
        <v>0</v>
      </c>
      <c r="AJ7" s="281">
        <v>94</v>
      </c>
      <c r="AK7" s="281">
        <v>1322</v>
      </c>
      <c r="AL7" s="281">
        <v>433</v>
      </c>
      <c r="AM7" s="281">
        <v>36</v>
      </c>
      <c r="AN7" s="281">
        <v>469</v>
      </c>
      <c r="AO7" s="300">
        <v>7</v>
      </c>
      <c r="AP7" s="300">
        <v>13</v>
      </c>
      <c r="AQ7" s="281">
        <v>35</v>
      </c>
      <c r="AR7" s="281">
        <v>1296</v>
      </c>
      <c r="AS7" s="281">
        <v>20</v>
      </c>
      <c r="AT7" s="281">
        <v>300</v>
      </c>
      <c r="AU7" s="330">
        <v>0</v>
      </c>
      <c r="AV7" s="281">
        <v>60.866510538641691</v>
      </c>
      <c r="AW7" s="281">
        <v>52.133489461358316</v>
      </c>
      <c r="AX7" s="281">
        <v>30</v>
      </c>
      <c r="AY7" s="281">
        <v>56.232142857142861</v>
      </c>
      <c r="AZ7" s="281">
        <v>239</v>
      </c>
      <c r="BA7" s="281">
        <v>439</v>
      </c>
      <c r="BB7" s="281">
        <v>623</v>
      </c>
      <c r="BC7" s="281">
        <v>6148</v>
      </c>
      <c r="BD7" s="281">
        <v>45</v>
      </c>
      <c r="BE7" s="281">
        <v>12000</v>
      </c>
      <c r="BF7" s="281">
        <v>19</v>
      </c>
      <c r="BG7" s="302"/>
      <c r="BH7" s="281">
        <v>70</v>
      </c>
      <c r="BI7" s="281">
        <v>66</v>
      </c>
      <c r="BJ7" s="281">
        <v>22000</v>
      </c>
      <c r="BK7" s="281">
        <v>98</v>
      </c>
      <c r="BL7" s="281">
        <v>345.76785714285717</v>
      </c>
      <c r="BM7" s="281">
        <v>407</v>
      </c>
      <c r="BN7" s="281">
        <v>2603</v>
      </c>
      <c r="BO7" s="281">
        <v>1667</v>
      </c>
      <c r="BP7" s="281">
        <v>1033</v>
      </c>
      <c r="BQ7" s="281">
        <v>1770</v>
      </c>
      <c r="BR7" s="281">
        <v>2000</v>
      </c>
      <c r="BS7" s="281">
        <v>21</v>
      </c>
      <c r="BT7" s="281">
        <v>2500</v>
      </c>
      <c r="BU7" s="281">
        <v>18719</v>
      </c>
      <c r="BV7" s="281">
        <v>5000</v>
      </c>
      <c r="BW7" s="281">
        <v>310</v>
      </c>
      <c r="BX7" s="281">
        <v>33000</v>
      </c>
      <c r="BY7" s="281">
        <v>103</v>
      </c>
      <c r="BZ7" s="281">
        <v>15000</v>
      </c>
      <c r="CA7" s="281">
        <v>45.878124999999997</v>
      </c>
      <c r="CB7" s="281">
        <v>231.12187499999999</v>
      </c>
      <c r="CC7" s="281">
        <v>980</v>
      </c>
      <c r="CD7" s="281">
        <v>500</v>
      </c>
      <c r="CE7" s="281">
        <v>300</v>
      </c>
      <c r="CF7" s="281">
        <v>5</v>
      </c>
      <c r="CG7" s="281">
        <v>710</v>
      </c>
      <c r="CH7" s="287">
        <v>0</v>
      </c>
      <c r="CI7" s="281">
        <v>9500</v>
      </c>
      <c r="CJ7" s="287">
        <v>0</v>
      </c>
      <c r="CK7" s="281">
        <v>9756</v>
      </c>
      <c r="CL7" s="281">
        <v>608</v>
      </c>
      <c r="CM7" s="281">
        <v>1105</v>
      </c>
      <c r="CN7" s="281">
        <v>2000</v>
      </c>
      <c r="CO7" s="287">
        <v>0</v>
      </c>
      <c r="CP7" s="281"/>
      <c r="CQ7" s="281">
        <v>764.67733333333331</v>
      </c>
      <c r="CR7" s="281">
        <v>301.32266666666669</v>
      </c>
      <c r="CS7" s="281">
        <v>195</v>
      </c>
      <c r="CT7" s="281">
        <v>320</v>
      </c>
      <c r="CU7" s="281">
        <v>27</v>
      </c>
      <c r="CV7" s="287">
        <v>0</v>
      </c>
      <c r="CW7" s="287">
        <v>0</v>
      </c>
      <c r="CX7" s="281">
        <v>312723</v>
      </c>
      <c r="DA7" s="63"/>
      <c r="DB7" s="19"/>
      <c r="DC7" s="19"/>
      <c r="DD7" s="19"/>
      <c r="DE7" s="19"/>
      <c r="DF7" s="19"/>
      <c r="DG7" s="19"/>
      <c r="DH7" s="19"/>
    </row>
    <row r="8" spans="1:112" ht="17.5" x14ac:dyDescent="0.45">
      <c r="A8" s="269" t="s">
        <v>43</v>
      </c>
      <c r="B8" s="281">
        <v>13</v>
      </c>
      <c r="C8" s="281">
        <v>75</v>
      </c>
      <c r="D8" s="281">
        <v>1864</v>
      </c>
      <c r="E8" s="287">
        <v>0</v>
      </c>
      <c r="F8" s="281">
        <v>2031</v>
      </c>
      <c r="G8" s="281">
        <v>194.22857142857143</v>
      </c>
      <c r="H8" s="281">
        <v>80</v>
      </c>
      <c r="I8" s="281">
        <v>233</v>
      </c>
      <c r="J8" s="281">
        <v>100</v>
      </c>
      <c r="K8" s="281">
        <v>672</v>
      </c>
      <c r="L8" s="281">
        <v>406</v>
      </c>
      <c r="M8" s="330">
        <v>0</v>
      </c>
      <c r="N8" s="281">
        <v>673</v>
      </c>
      <c r="O8" s="281">
        <v>230</v>
      </c>
      <c r="P8" s="281">
        <v>106</v>
      </c>
      <c r="Q8" s="330">
        <v>0</v>
      </c>
      <c r="R8" s="281">
        <v>80</v>
      </c>
      <c r="S8" s="281">
        <v>14</v>
      </c>
      <c r="T8" s="281">
        <v>106</v>
      </c>
      <c r="U8" s="281">
        <v>198</v>
      </c>
      <c r="V8" s="281">
        <v>934</v>
      </c>
      <c r="W8" s="281">
        <v>130</v>
      </c>
      <c r="X8" s="281">
        <v>47</v>
      </c>
      <c r="Y8" s="281">
        <v>21356</v>
      </c>
      <c r="Z8" s="281">
        <v>20</v>
      </c>
      <c r="AA8" s="281">
        <v>0</v>
      </c>
      <c r="AB8" s="281">
        <v>87</v>
      </c>
      <c r="AC8" s="281">
        <v>760</v>
      </c>
      <c r="AD8" s="281">
        <v>107131</v>
      </c>
      <c r="AE8" s="281">
        <v>298</v>
      </c>
      <c r="AF8" s="281">
        <v>701</v>
      </c>
      <c r="AG8" s="281">
        <v>27</v>
      </c>
      <c r="AH8" s="288">
        <v>11.77142857142857</v>
      </c>
      <c r="AI8" s="287">
        <v>0</v>
      </c>
      <c r="AJ8" s="281">
        <v>94</v>
      </c>
      <c r="AK8" s="281">
        <v>1144</v>
      </c>
      <c r="AL8" s="281">
        <v>433</v>
      </c>
      <c r="AM8" s="281">
        <v>36</v>
      </c>
      <c r="AN8" s="281">
        <v>460</v>
      </c>
      <c r="AO8" s="300">
        <v>5.74</v>
      </c>
      <c r="AP8" s="300">
        <v>10.660000000000002</v>
      </c>
      <c r="AQ8" s="281">
        <v>71</v>
      </c>
      <c r="AR8" s="281">
        <v>392</v>
      </c>
      <c r="AS8" s="281">
        <v>20</v>
      </c>
      <c r="AT8" s="281">
        <v>300</v>
      </c>
      <c r="AU8" s="330">
        <v>0</v>
      </c>
      <c r="AV8" s="281">
        <v>56.01873536299766</v>
      </c>
      <c r="AW8" s="281">
        <v>47.98126463700234</v>
      </c>
      <c r="AX8" s="281">
        <v>30</v>
      </c>
      <c r="AY8" s="281">
        <v>37.767857142857146</v>
      </c>
      <c r="AZ8" s="281">
        <v>1007</v>
      </c>
      <c r="BA8" s="281">
        <v>439</v>
      </c>
      <c r="BB8" s="281">
        <v>631</v>
      </c>
      <c r="BC8" s="281">
        <v>6000</v>
      </c>
      <c r="BD8" s="281">
        <v>30</v>
      </c>
      <c r="BE8" s="281">
        <v>12000</v>
      </c>
      <c r="BF8" s="281">
        <v>19</v>
      </c>
      <c r="BG8" s="302"/>
      <c r="BH8" s="281">
        <v>76</v>
      </c>
      <c r="BI8" s="281">
        <v>70</v>
      </c>
      <c r="BJ8" s="281">
        <v>34943</v>
      </c>
      <c r="BK8" s="287">
        <v>0</v>
      </c>
      <c r="BL8" s="281">
        <v>232.23214285714286</v>
      </c>
      <c r="BM8" s="281">
        <v>117</v>
      </c>
      <c r="BN8" s="281">
        <v>1709</v>
      </c>
      <c r="BO8" s="281">
        <v>890</v>
      </c>
      <c r="BP8" s="281">
        <v>1056</v>
      </c>
      <c r="BQ8" s="281">
        <v>1750</v>
      </c>
      <c r="BR8" s="281">
        <v>3817</v>
      </c>
      <c r="BS8" s="281">
        <v>21</v>
      </c>
      <c r="BT8" s="281">
        <v>2500</v>
      </c>
      <c r="BU8" s="281">
        <v>11281</v>
      </c>
      <c r="BV8" s="281">
        <v>5000</v>
      </c>
      <c r="BW8" s="281">
        <v>310</v>
      </c>
      <c r="BX8" s="281">
        <v>33000</v>
      </c>
      <c r="BY8" s="281">
        <v>199</v>
      </c>
      <c r="BZ8" s="281">
        <v>14400</v>
      </c>
      <c r="CA8" s="281">
        <v>47.203125</v>
      </c>
      <c r="CB8" s="281">
        <v>237.796875</v>
      </c>
      <c r="CC8" s="281">
        <v>882</v>
      </c>
      <c r="CD8" s="281">
        <v>500</v>
      </c>
      <c r="CE8" s="281">
        <v>300</v>
      </c>
      <c r="CF8" s="281">
        <v>5</v>
      </c>
      <c r="CG8" s="281">
        <v>710</v>
      </c>
      <c r="CH8" s="281">
        <v>77</v>
      </c>
      <c r="CI8" s="281">
        <v>97640</v>
      </c>
      <c r="CJ8" s="287">
        <v>0</v>
      </c>
      <c r="CK8" s="281">
        <v>10052</v>
      </c>
      <c r="CL8" s="281">
        <v>504</v>
      </c>
      <c r="CM8" s="281">
        <v>1272</v>
      </c>
      <c r="CN8" s="281">
        <v>2000</v>
      </c>
      <c r="CO8" s="281">
        <v>275</v>
      </c>
      <c r="CP8" s="281"/>
      <c r="CQ8" s="281">
        <v>538</v>
      </c>
      <c r="CR8" s="281">
        <v>212</v>
      </c>
      <c r="CS8" s="281">
        <v>195</v>
      </c>
      <c r="CT8" s="281">
        <v>320</v>
      </c>
      <c r="CU8" s="281">
        <v>27</v>
      </c>
      <c r="CV8" s="287">
        <v>0</v>
      </c>
      <c r="CW8" s="287">
        <v>0</v>
      </c>
      <c r="CX8" s="281">
        <v>389007.4</v>
      </c>
      <c r="DA8" s="63"/>
      <c r="DB8" s="19"/>
      <c r="DC8" s="19"/>
      <c r="DD8" s="19"/>
      <c r="DE8" s="19"/>
      <c r="DF8" s="19"/>
      <c r="DG8" s="19"/>
      <c r="DH8" s="19"/>
    </row>
    <row r="9" spans="1:112" ht="17.5" x14ac:dyDescent="0.45">
      <c r="A9" s="269" t="s">
        <v>44</v>
      </c>
      <c r="B9" s="281">
        <v>13</v>
      </c>
      <c r="C9" s="281">
        <v>75</v>
      </c>
      <c r="D9" s="281">
        <v>367</v>
      </c>
      <c r="E9" s="287">
        <v>0</v>
      </c>
      <c r="F9" s="281">
        <v>3120</v>
      </c>
      <c r="G9" s="281">
        <v>124.45714285714286</v>
      </c>
      <c r="H9" s="281">
        <v>83</v>
      </c>
      <c r="I9" s="281">
        <v>178</v>
      </c>
      <c r="J9" s="330">
        <v>0</v>
      </c>
      <c r="K9" s="281">
        <v>80</v>
      </c>
      <c r="L9" s="281">
        <v>63</v>
      </c>
      <c r="M9" s="330">
        <v>0</v>
      </c>
      <c r="N9" s="281">
        <v>676</v>
      </c>
      <c r="O9" s="281">
        <v>133</v>
      </c>
      <c r="P9" s="281">
        <v>120</v>
      </c>
      <c r="Q9" s="281">
        <v>22</v>
      </c>
      <c r="R9" s="281">
        <v>66</v>
      </c>
      <c r="S9" s="281">
        <v>14</v>
      </c>
      <c r="T9" s="281">
        <v>106</v>
      </c>
      <c r="U9" s="330">
        <v>0</v>
      </c>
      <c r="V9" s="281">
        <v>334</v>
      </c>
      <c r="W9" s="281">
        <v>0</v>
      </c>
      <c r="X9" s="281">
        <v>18</v>
      </c>
      <c r="Y9" s="281">
        <v>15153</v>
      </c>
      <c r="Z9" s="281">
        <v>20</v>
      </c>
      <c r="AA9" s="281">
        <v>50</v>
      </c>
      <c r="AB9" s="281">
        <v>63</v>
      </c>
      <c r="AC9" s="281">
        <v>760</v>
      </c>
      <c r="AD9" s="281">
        <v>106300</v>
      </c>
      <c r="AE9" s="281">
        <v>184</v>
      </c>
      <c r="AF9" s="281">
        <v>1509</v>
      </c>
      <c r="AG9" s="281">
        <v>28</v>
      </c>
      <c r="AH9" s="288">
        <v>7.5428571428571427</v>
      </c>
      <c r="AI9" s="287">
        <v>0</v>
      </c>
      <c r="AJ9" s="281">
        <v>15</v>
      </c>
      <c r="AK9" s="281">
        <v>1605</v>
      </c>
      <c r="AL9" s="281">
        <v>203</v>
      </c>
      <c r="AM9" s="281">
        <v>36</v>
      </c>
      <c r="AN9" s="330">
        <v>0</v>
      </c>
      <c r="AO9" s="300">
        <v>1.82</v>
      </c>
      <c r="AP9" s="300">
        <v>3.3800000000000008</v>
      </c>
      <c r="AQ9" s="287">
        <v>0</v>
      </c>
      <c r="AR9" s="281">
        <v>903</v>
      </c>
      <c r="AS9" s="281">
        <v>20</v>
      </c>
      <c r="AT9" s="281">
        <v>300</v>
      </c>
      <c r="AU9" s="330">
        <v>0</v>
      </c>
      <c r="AV9" s="281">
        <v>60.866510538641691</v>
      </c>
      <c r="AW9" s="281">
        <v>52.133489461358316</v>
      </c>
      <c r="AX9" s="281">
        <v>21.514285714285716</v>
      </c>
      <c r="AY9" s="281">
        <v>60.148809523809526</v>
      </c>
      <c r="AZ9" s="281">
        <v>1507</v>
      </c>
      <c r="BA9" s="281">
        <v>253</v>
      </c>
      <c r="BB9" s="281">
        <v>297</v>
      </c>
      <c r="BC9" s="281">
        <v>5770</v>
      </c>
      <c r="BD9" s="281">
        <v>30</v>
      </c>
      <c r="BE9" s="281">
        <v>11723</v>
      </c>
      <c r="BF9" s="281">
        <v>20</v>
      </c>
      <c r="BG9" s="302"/>
      <c r="BH9" s="281">
        <v>75</v>
      </c>
      <c r="BI9" s="281">
        <v>71</v>
      </c>
      <c r="BJ9" s="281">
        <v>10100</v>
      </c>
      <c r="BK9" s="281">
        <v>98</v>
      </c>
      <c r="BL9" s="281">
        <v>369.85119047619048</v>
      </c>
      <c r="BM9" s="281">
        <v>410</v>
      </c>
      <c r="BN9" s="281">
        <v>1808</v>
      </c>
      <c r="BO9" s="281">
        <v>1730</v>
      </c>
      <c r="BP9" s="281">
        <v>118</v>
      </c>
      <c r="BQ9" s="287">
        <v>0</v>
      </c>
      <c r="BR9" s="281">
        <v>183</v>
      </c>
      <c r="BS9" s="281">
        <v>22</v>
      </c>
      <c r="BT9" s="281">
        <v>2500</v>
      </c>
      <c r="BU9" s="281">
        <v>15000</v>
      </c>
      <c r="BV9" s="281">
        <v>5000</v>
      </c>
      <c r="BW9" s="281">
        <v>310</v>
      </c>
      <c r="BX9" s="281">
        <v>33000</v>
      </c>
      <c r="BY9" s="281">
        <v>57</v>
      </c>
      <c r="BZ9" s="281">
        <v>15600</v>
      </c>
      <c r="CA9" s="281">
        <v>47.368749999999999</v>
      </c>
      <c r="CB9" s="281">
        <v>238.63124999999999</v>
      </c>
      <c r="CC9" s="281">
        <v>820</v>
      </c>
      <c r="CD9" s="281">
        <v>500</v>
      </c>
      <c r="CE9" s="281">
        <v>300</v>
      </c>
      <c r="CF9" s="281">
        <v>5</v>
      </c>
      <c r="CG9" s="281">
        <v>710</v>
      </c>
      <c r="CH9" s="287">
        <v>0</v>
      </c>
      <c r="CI9" s="281">
        <v>84533</v>
      </c>
      <c r="CJ9" s="287">
        <v>0</v>
      </c>
      <c r="CK9" s="281">
        <v>9648</v>
      </c>
      <c r="CL9" s="281">
        <v>541</v>
      </c>
      <c r="CM9" s="281">
        <v>629</v>
      </c>
      <c r="CN9" s="281">
        <v>2000</v>
      </c>
      <c r="CO9" s="281">
        <v>275</v>
      </c>
      <c r="CP9" s="281"/>
      <c r="CQ9" s="281">
        <v>538</v>
      </c>
      <c r="CR9" s="281">
        <v>212</v>
      </c>
      <c r="CS9" s="281">
        <v>26</v>
      </c>
      <c r="CT9" s="281">
        <v>229.48571428571429</v>
      </c>
      <c r="CU9" s="281">
        <v>27</v>
      </c>
      <c r="CV9" s="287">
        <v>0</v>
      </c>
      <c r="CW9" s="281">
        <v>16</v>
      </c>
      <c r="CX9" s="281">
        <v>340296.2</v>
      </c>
      <c r="DA9" s="63"/>
      <c r="DB9" s="19"/>
      <c r="DC9" s="19"/>
      <c r="DD9" s="19"/>
      <c r="DE9" s="19"/>
      <c r="DF9" s="19"/>
      <c r="DG9" s="19"/>
      <c r="DH9" s="19"/>
    </row>
    <row r="10" spans="1:112" ht="17.5" x14ac:dyDescent="0.45">
      <c r="A10" s="269" t="s">
        <v>45</v>
      </c>
      <c r="B10" s="281">
        <v>13</v>
      </c>
      <c r="C10" s="281">
        <v>75</v>
      </c>
      <c r="D10" s="281">
        <v>1851</v>
      </c>
      <c r="E10" s="281">
        <v>22</v>
      </c>
      <c r="F10" s="281">
        <v>2614</v>
      </c>
      <c r="G10" s="281">
        <v>224.4</v>
      </c>
      <c r="H10" s="281">
        <v>81</v>
      </c>
      <c r="I10" s="281">
        <v>93</v>
      </c>
      <c r="J10" s="281">
        <v>100</v>
      </c>
      <c r="K10" s="281">
        <v>1264</v>
      </c>
      <c r="L10" s="330">
        <v>0</v>
      </c>
      <c r="M10" s="281">
        <v>54</v>
      </c>
      <c r="N10" s="281">
        <v>588</v>
      </c>
      <c r="O10" s="281">
        <v>280</v>
      </c>
      <c r="P10" s="281">
        <v>55</v>
      </c>
      <c r="Q10" s="281">
        <v>22</v>
      </c>
      <c r="R10" s="281">
        <v>66</v>
      </c>
      <c r="S10" s="330">
        <v>0</v>
      </c>
      <c r="T10" s="330">
        <v>0</v>
      </c>
      <c r="U10" s="281">
        <v>113</v>
      </c>
      <c r="V10" s="281">
        <v>634</v>
      </c>
      <c r="W10" s="281">
        <v>131</v>
      </c>
      <c r="X10" s="281">
        <v>62</v>
      </c>
      <c r="Y10" s="281">
        <v>27298</v>
      </c>
      <c r="Z10" s="281">
        <v>20</v>
      </c>
      <c r="AA10" s="281">
        <v>50</v>
      </c>
      <c r="AB10" s="281">
        <v>62</v>
      </c>
      <c r="AC10" s="281">
        <v>760</v>
      </c>
      <c r="AD10" s="281">
        <v>106500</v>
      </c>
      <c r="AE10" s="281">
        <v>196</v>
      </c>
      <c r="AF10" s="281">
        <v>1240</v>
      </c>
      <c r="AG10" s="281">
        <v>28</v>
      </c>
      <c r="AH10" s="288">
        <v>13.6</v>
      </c>
      <c r="AI10" s="287">
        <v>0</v>
      </c>
      <c r="AJ10" s="281">
        <v>94</v>
      </c>
      <c r="AK10" s="281">
        <v>1249</v>
      </c>
      <c r="AL10" s="281">
        <v>320</v>
      </c>
      <c r="AM10" s="281">
        <v>36</v>
      </c>
      <c r="AN10" s="330">
        <v>0</v>
      </c>
      <c r="AO10" s="300">
        <v>9.8699999999999992</v>
      </c>
      <c r="AP10" s="300">
        <v>18.330000000000002</v>
      </c>
      <c r="AQ10" s="281">
        <v>71</v>
      </c>
      <c r="AR10" s="281">
        <v>1580</v>
      </c>
      <c r="AS10" s="281">
        <v>20</v>
      </c>
      <c r="AT10" s="281">
        <v>287</v>
      </c>
      <c r="AU10" s="330">
        <v>0</v>
      </c>
      <c r="AV10" s="281">
        <v>60.866510538641691</v>
      </c>
      <c r="AW10" s="281">
        <v>52.133489461358316</v>
      </c>
      <c r="AX10" s="281">
        <v>11.571428571428571</v>
      </c>
      <c r="AY10" s="281">
        <v>45.461309523809526</v>
      </c>
      <c r="AZ10" s="281">
        <v>1766</v>
      </c>
      <c r="BA10" s="281">
        <v>439</v>
      </c>
      <c r="BB10" s="281">
        <v>859</v>
      </c>
      <c r="BC10" s="281">
        <v>5342</v>
      </c>
      <c r="BD10" s="281">
        <v>36</v>
      </c>
      <c r="BE10" s="281">
        <v>11116</v>
      </c>
      <c r="BF10" s="281">
        <v>20</v>
      </c>
      <c r="BG10" s="302"/>
      <c r="BH10" s="281">
        <v>76</v>
      </c>
      <c r="BI10" s="281">
        <v>71</v>
      </c>
      <c r="BJ10" s="281">
        <v>22000</v>
      </c>
      <c r="BK10" s="287">
        <v>0</v>
      </c>
      <c r="BL10" s="281">
        <v>279.53869047619048</v>
      </c>
      <c r="BM10" s="281">
        <v>407</v>
      </c>
      <c r="BN10" s="281">
        <v>1587</v>
      </c>
      <c r="BO10" s="281">
        <v>1310</v>
      </c>
      <c r="BP10" s="281">
        <v>1562</v>
      </c>
      <c r="BQ10" s="281">
        <v>3500</v>
      </c>
      <c r="BR10" s="281">
        <v>2000</v>
      </c>
      <c r="BS10" s="281">
        <v>21</v>
      </c>
      <c r="BT10" s="281">
        <v>2500</v>
      </c>
      <c r="BU10" s="281">
        <v>15000</v>
      </c>
      <c r="BV10" s="281">
        <v>5000</v>
      </c>
      <c r="BW10" s="281">
        <v>310</v>
      </c>
      <c r="BX10" s="281">
        <v>33000</v>
      </c>
      <c r="BY10" s="281">
        <v>200</v>
      </c>
      <c r="BZ10" s="281">
        <v>13711</v>
      </c>
      <c r="CA10" s="281">
        <v>50.846874999999997</v>
      </c>
      <c r="CB10" s="281">
        <v>256.15312499999999</v>
      </c>
      <c r="CC10" s="281">
        <v>966</v>
      </c>
      <c r="CD10" s="281">
        <v>500</v>
      </c>
      <c r="CE10" s="281">
        <v>300</v>
      </c>
      <c r="CF10" s="281">
        <v>5</v>
      </c>
      <c r="CG10" s="281">
        <v>810</v>
      </c>
      <c r="CH10" s="281">
        <v>81</v>
      </c>
      <c r="CI10" s="281">
        <v>87306</v>
      </c>
      <c r="CJ10" s="287">
        <v>0</v>
      </c>
      <c r="CK10" s="281">
        <v>8183</v>
      </c>
      <c r="CL10" s="281">
        <v>462</v>
      </c>
      <c r="CM10" s="281">
        <v>959</v>
      </c>
      <c r="CN10" s="281">
        <v>2000</v>
      </c>
      <c r="CO10" s="281">
        <v>275</v>
      </c>
      <c r="CP10" s="281"/>
      <c r="CQ10" s="281">
        <v>538</v>
      </c>
      <c r="CR10" s="281">
        <v>212</v>
      </c>
      <c r="CS10" s="281">
        <v>195</v>
      </c>
      <c r="CT10" s="281">
        <v>123.42857142857143</v>
      </c>
      <c r="CU10" s="281">
        <v>27</v>
      </c>
      <c r="CV10" s="287">
        <v>0</v>
      </c>
      <c r="CW10" s="281">
        <v>8</v>
      </c>
      <c r="CX10" s="281">
        <v>373735.2</v>
      </c>
      <c r="DA10" s="63"/>
      <c r="DB10" s="19"/>
      <c r="DC10" s="19"/>
      <c r="DD10" s="19"/>
      <c r="DE10" s="19"/>
      <c r="DF10" s="19"/>
      <c r="DG10" s="19"/>
      <c r="DH10" s="19"/>
    </row>
    <row r="11" spans="1:112" ht="17.5" x14ac:dyDescent="0.45">
      <c r="A11" s="269" t="s">
        <v>46</v>
      </c>
      <c r="B11" s="281">
        <v>14</v>
      </c>
      <c r="C11" s="330">
        <v>0</v>
      </c>
      <c r="D11" s="281">
        <v>1611</v>
      </c>
      <c r="E11" s="287">
        <v>0</v>
      </c>
      <c r="F11" s="281">
        <v>2646</v>
      </c>
      <c r="G11" s="281">
        <v>198.94285714285715</v>
      </c>
      <c r="H11" s="281">
        <v>61</v>
      </c>
      <c r="I11" s="281">
        <v>256</v>
      </c>
      <c r="J11" s="281">
        <v>100</v>
      </c>
      <c r="K11" s="281">
        <v>752</v>
      </c>
      <c r="L11" s="281">
        <v>117</v>
      </c>
      <c r="M11" s="281">
        <v>109</v>
      </c>
      <c r="N11" s="281">
        <v>672</v>
      </c>
      <c r="O11" s="281">
        <v>230</v>
      </c>
      <c r="P11" s="281">
        <v>120</v>
      </c>
      <c r="Q11" s="281">
        <v>22</v>
      </c>
      <c r="R11" s="281">
        <v>35</v>
      </c>
      <c r="S11" s="281">
        <v>28</v>
      </c>
      <c r="T11" s="281">
        <v>212</v>
      </c>
      <c r="U11" s="330">
        <v>0</v>
      </c>
      <c r="V11" s="281">
        <v>624</v>
      </c>
      <c r="W11" s="281">
        <v>146</v>
      </c>
      <c r="X11" s="281">
        <v>36</v>
      </c>
      <c r="Y11" s="281">
        <v>15228</v>
      </c>
      <c r="Z11" s="281">
        <v>20</v>
      </c>
      <c r="AA11" s="281">
        <v>50</v>
      </c>
      <c r="AB11" s="281">
        <v>87</v>
      </c>
      <c r="AC11" s="281">
        <v>310</v>
      </c>
      <c r="AD11" s="281">
        <v>106460</v>
      </c>
      <c r="AE11" s="281">
        <v>220</v>
      </c>
      <c r="AF11" s="281">
        <v>840</v>
      </c>
      <c r="AG11" s="281">
        <v>0</v>
      </c>
      <c r="AH11" s="288">
        <v>12.057142857142857</v>
      </c>
      <c r="AI11" s="287">
        <v>0</v>
      </c>
      <c r="AJ11" s="281">
        <v>39</v>
      </c>
      <c r="AK11" s="281">
        <v>1897</v>
      </c>
      <c r="AL11" s="281">
        <v>281</v>
      </c>
      <c r="AM11" s="330">
        <v>0</v>
      </c>
      <c r="AN11" s="330">
        <v>0</v>
      </c>
      <c r="AO11" s="300">
        <v>6.16</v>
      </c>
      <c r="AP11" s="300">
        <v>11.440000000000001</v>
      </c>
      <c r="AQ11" s="281">
        <v>150</v>
      </c>
      <c r="AR11" s="281">
        <v>611</v>
      </c>
      <c r="AS11" s="281">
        <v>20</v>
      </c>
      <c r="AT11" s="281">
        <v>313</v>
      </c>
      <c r="AU11" s="330">
        <v>0</v>
      </c>
      <c r="AV11" s="281">
        <v>95.339578454332553</v>
      </c>
      <c r="AW11" s="281">
        <v>81.660421545667447</v>
      </c>
      <c r="AX11" s="281">
        <v>30</v>
      </c>
      <c r="AY11" s="281">
        <v>35.389880952380956</v>
      </c>
      <c r="AZ11" s="281">
        <v>242</v>
      </c>
      <c r="BA11" s="281">
        <v>220</v>
      </c>
      <c r="BB11" s="281">
        <v>645</v>
      </c>
      <c r="BC11" s="281">
        <v>4888</v>
      </c>
      <c r="BD11" s="281">
        <v>22</v>
      </c>
      <c r="BE11" s="281">
        <v>11810</v>
      </c>
      <c r="BF11" s="281">
        <v>20</v>
      </c>
      <c r="BG11" s="302"/>
      <c r="BH11" s="281">
        <v>76</v>
      </c>
      <c r="BI11" s="281">
        <v>130</v>
      </c>
      <c r="BJ11" s="281">
        <v>22000</v>
      </c>
      <c r="BK11" s="281">
        <v>98</v>
      </c>
      <c r="BL11" s="281">
        <v>217.61011904761907</v>
      </c>
      <c r="BM11" s="281">
        <v>410</v>
      </c>
      <c r="BN11" s="281">
        <v>1998</v>
      </c>
      <c r="BO11" s="281">
        <v>1059</v>
      </c>
      <c r="BP11" s="281">
        <v>1248</v>
      </c>
      <c r="BQ11" s="281">
        <v>1736</v>
      </c>
      <c r="BR11" s="281">
        <v>2000</v>
      </c>
      <c r="BS11" s="281">
        <v>21</v>
      </c>
      <c r="BT11" s="281">
        <v>2500</v>
      </c>
      <c r="BU11" s="281">
        <v>15000</v>
      </c>
      <c r="BV11" s="281">
        <v>5787</v>
      </c>
      <c r="BW11" s="281">
        <v>760</v>
      </c>
      <c r="BX11" s="281">
        <v>33000</v>
      </c>
      <c r="BY11" s="281">
        <v>92</v>
      </c>
      <c r="BZ11" s="281">
        <v>16289</v>
      </c>
      <c r="CA11" s="281">
        <v>45.381250000000001</v>
      </c>
      <c r="CB11" s="281">
        <v>228.61875000000001</v>
      </c>
      <c r="CC11" s="281">
        <v>704</v>
      </c>
      <c r="CD11" s="281">
        <v>500</v>
      </c>
      <c r="CE11" s="281">
        <v>300</v>
      </c>
      <c r="CF11" s="281">
        <v>5</v>
      </c>
      <c r="CG11" s="281">
        <v>507</v>
      </c>
      <c r="CH11" s="281">
        <v>37</v>
      </c>
      <c r="CI11" s="281">
        <v>110521</v>
      </c>
      <c r="CJ11" s="287">
        <v>0</v>
      </c>
      <c r="CK11" s="281">
        <v>9788</v>
      </c>
      <c r="CL11" s="281">
        <v>425</v>
      </c>
      <c r="CM11" s="281">
        <v>1309</v>
      </c>
      <c r="CN11" s="281">
        <v>1633</v>
      </c>
      <c r="CO11" s="281">
        <v>208</v>
      </c>
      <c r="CP11" s="281"/>
      <c r="CQ11" s="281">
        <v>447.61599999999999</v>
      </c>
      <c r="CR11" s="281">
        <v>176.38399999999999</v>
      </c>
      <c r="CS11" s="281">
        <v>60</v>
      </c>
      <c r="CT11" s="281">
        <v>320</v>
      </c>
      <c r="CU11" s="281">
        <v>27</v>
      </c>
      <c r="CV11" s="287">
        <v>0</v>
      </c>
      <c r="CW11" s="281">
        <v>8</v>
      </c>
      <c r="CX11" s="281">
        <v>384306.6</v>
      </c>
      <c r="DA11" s="63"/>
      <c r="DB11" s="19"/>
      <c r="DC11" s="19"/>
      <c r="DD11" s="19"/>
      <c r="DE11" s="19"/>
      <c r="DF11" s="19"/>
      <c r="DG11" s="19"/>
      <c r="DH11" s="19"/>
    </row>
    <row r="12" spans="1:112" ht="17.5" x14ac:dyDescent="0.45">
      <c r="A12" s="269" t="s">
        <v>47</v>
      </c>
      <c r="B12" s="281">
        <v>13</v>
      </c>
      <c r="C12" s="281">
        <v>851</v>
      </c>
      <c r="D12" s="281">
        <v>948</v>
      </c>
      <c r="E12" s="287">
        <v>0</v>
      </c>
      <c r="F12" s="281">
        <v>1810</v>
      </c>
      <c r="G12" s="281">
        <v>198.94285714285715</v>
      </c>
      <c r="H12" s="281">
        <v>27</v>
      </c>
      <c r="I12" s="281">
        <v>197</v>
      </c>
      <c r="J12" s="281">
        <v>100</v>
      </c>
      <c r="K12" s="281">
        <v>599</v>
      </c>
      <c r="L12" s="330">
        <v>0</v>
      </c>
      <c r="M12" s="281">
        <v>55</v>
      </c>
      <c r="N12" s="281">
        <v>857</v>
      </c>
      <c r="O12" s="281">
        <v>230</v>
      </c>
      <c r="P12" s="281">
        <v>111</v>
      </c>
      <c r="Q12" s="281">
        <v>22</v>
      </c>
      <c r="R12" s="281">
        <v>35</v>
      </c>
      <c r="S12" s="330">
        <v>0</v>
      </c>
      <c r="T12" s="330">
        <v>0</v>
      </c>
      <c r="U12" s="330">
        <v>0</v>
      </c>
      <c r="V12" s="281">
        <v>644</v>
      </c>
      <c r="W12" s="281">
        <v>131</v>
      </c>
      <c r="X12" s="281">
        <v>24</v>
      </c>
      <c r="Y12" s="281">
        <v>17585</v>
      </c>
      <c r="Z12" s="281">
        <v>1</v>
      </c>
      <c r="AA12" s="281">
        <v>41</v>
      </c>
      <c r="AB12" s="281">
        <v>13</v>
      </c>
      <c r="AC12" s="281">
        <v>760</v>
      </c>
      <c r="AD12" s="281">
        <v>164343</v>
      </c>
      <c r="AE12" s="281">
        <v>240</v>
      </c>
      <c r="AF12" s="281">
        <v>1253</v>
      </c>
      <c r="AG12" s="281">
        <v>28</v>
      </c>
      <c r="AH12" s="288">
        <v>12.057142857142857</v>
      </c>
      <c r="AI12" s="287">
        <v>0</v>
      </c>
      <c r="AJ12" s="281">
        <v>76</v>
      </c>
      <c r="AK12" s="330">
        <v>0</v>
      </c>
      <c r="AL12" s="281">
        <v>281</v>
      </c>
      <c r="AM12" s="330">
        <v>0</v>
      </c>
      <c r="AN12" s="330">
        <v>0</v>
      </c>
      <c r="AO12" s="300">
        <v>11.41</v>
      </c>
      <c r="AP12" s="300">
        <v>21.19</v>
      </c>
      <c r="AQ12" s="287">
        <v>0</v>
      </c>
      <c r="AR12" s="281">
        <v>1478</v>
      </c>
      <c r="AS12" s="281">
        <v>20</v>
      </c>
      <c r="AT12" s="281">
        <v>300</v>
      </c>
      <c r="AU12" s="330">
        <v>0</v>
      </c>
      <c r="AV12" s="281">
        <v>95.339578454332553</v>
      </c>
      <c r="AW12" s="281">
        <v>81.660421545667447</v>
      </c>
      <c r="AX12" s="281">
        <v>29.228571428571428</v>
      </c>
      <c r="AY12" s="281">
        <v>59.30952380952381</v>
      </c>
      <c r="AZ12" s="281">
        <v>630</v>
      </c>
      <c r="BA12" s="287">
        <v>0</v>
      </c>
      <c r="BB12" s="281">
        <v>639</v>
      </c>
      <c r="BC12" s="281">
        <v>5000</v>
      </c>
      <c r="BD12" s="281">
        <v>16</v>
      </c>
      <c r="BE12" s="281">
        <v>12602</v>
      </c>
      <c r="BF12" s="281">
        <v>20</v>
      </c>
      <c r="BG12" s="302"/>
      <c r="BH12" s="281">
        <v>76</v>
      </c>
      <c r="BI12" s="281">
        <v>130</v>
      </c>
      <c r="BJ12" s="281">
        <v>22000</v>
      </c>
      <c r="BK12" s="281">
        <v>57</v>
      </c>
      <c r="BL12" s="281">
        <v>364.6904761904762</v>
      </c>
      <c r="BM12" s="287">
        <v>0</v>
      </c>
      <c r="BN12" s="281">
        <v>1722</v>
      </c>
      <c r="BO12" s="281">
        <v>1561</v>
      </c>
      <c r="BP12" s="281">
        <v>545</v>
      </c>
      <c r="BQ12" s="281">
        <v>1769</v>
      </c>
      <c r="BR12" s="281">
        <v>2000</v>
      </c>
      <c r="BS12" s="281">
        <v>21</v>
      </c>
      <c r="BT12" s="281">
        <v>2500</v>
      </c>
      <c r="BU12" s="281">
        <v>15000</v>
      </c>
      <c r="BV12" s="281">
        <v>5000</v>
      </c>
      <c r="BW12" s="281">
        <v>310</v>
      </c>
      <c r="BX12" s="281">
        <v>15000</v>
      </c>
      <c r="BY12" s="281">
        <v>-1</v>
      </c>
      <c r="BZ12" s="281">
        <v>15000</v>
      </c>
      <c r="CA12" s="281">
        <v>48.362499999999997</v>
      </c>
      <c r="CB12" s="281">
        <v>243.63749999999999</v>
      </c>
      <c r="CC12" s="281">
        <v>830</v>
      </c>
      <c r="CD12" s="281">
        <v>500</v>
      </c>
      <c r="CE12" s="281">
        <v>300</v>
      </c>
      <c r="CF12" s="281">
        <v>5</v>
      </c>
      <c r="CG12" s="281">
        <v>996</v>
      </c>
      <c r="CH12" s="287">
        <v>0</v>
      </c>
      <c r="CI12" s="281">
        <v>88843</v>
      </c>
      <c r="CJ12" s="287">
        <v>0</v>
      </c>
      <c r="CK12" s="281">
        <v>10598</v>
      </c>
      <c r="CL12" s="281">
        <v>452</v>
      </c>
      <c r="CM12" s="281">
        <v>762</v>
      </c>
      <c r="CN12" s="281">
        <v>2367</v>
      </c>
      <c r="CO12" s="287">
        <v>0</v>
      </c>
      <c r="CP12" s="281"/>
      <c r="CQ12" s="281">
        <v>624.79733333333331</v>
      </c>
      <c r="CR12" s="281">
        <v>246.20266666666666</v>
      </c>
      <c r="CS12" s="281">
        <v>60</v>
      </c>
      <c r="CT12" s="281">
        <v>311.77142857142854</v>
      </c>
      <c r="CU12" s="281">
        <v>27</v>
      </c>
      <c r="CV12" s="287">
        <v>0</v>
      </c>
      <c r="CW12" s="281">
        <v>8</v>
      </c>
      <c r="CX12" s="281">
        <v>402766.6</v>
      </c>
      <c r="DA12" s="63"/>
      <c r="DB12" s="19"/>
      <c r="DC12" s="19"/>
      <c r="DD12" s="19"/>
      <c r="DE12" s="19"/>
      <c r="DF12" s="19"/>
      <c r="DG12" s="19"/>
      <c r="DH12" s="19"/>
    </row>
    <row r="13" spans="1:112" ht="17.5" x14ac:dyDescent="0.45">
      <c r="A13" s="269" t="s">
        <v>48</v>
      </c>
      <c r="B13" s="281">
        <v>14</v>
      </c>
      <c r="C13" s="281">
        <v>74</v>
      </c>
      <c r="D13" s="281">
        <v>2068</v>
      </c>
      <c r="E13" s="287">
        <v>0</v>
      </c>
      <c r="F13" s="281">
        <v>2346</v>
      </c>
      <c r="G13" s="281">
        <v>198.94285714285715</v>
      </c>
      <c r="H13" s="281">
        <v>81</v>
      </c>
      <c r="I13" s="281">
        <v>147</v>
      </c>
      <c r="J13" s="330">
        <v>0</v>
      </c>
      <c r="K13" s="281">
        <v>745</v>
      </c>
      <c r="L13" s="281">
        <v>29</v>
      </c>
      <c r="M13" s="281">
        <v>55</v>
      </c>
      <c r="N13" s="281">
        <v>567</v>
      </c>
      <c r="O13" s="281">
        <v>230</v>
      </c>
      <c r="P13" s="281">
        <v>111</v>
      </c>
      <c r="Q13" s="281">
        <v>22</v>
      </c>
      <c r="R13" s="281">
        <v>35</v>
      </c>
      <c r="S13" s="281">
        <v>28</v>
      </c>
      <c r="T13" s="281">
        <v>212</v>
      </c>
      <c r="U13" s="281">
        <v>170</v>
      </c>
      <c r="V13" s="281">
        <v>634</v>
      </c>
      <c r="W13" s="281">
        <v>116</v>
      </c>
      <c r="X13" s="281">
        <v>56</v>
      </c>
      <c r="Y13" s="281">
        <v>17263</v>
      </c>
      <c r="Z13" s="281">
        <v>20</v>
      </c>
      <c r="AA13" s="281">
        <v>50</v>
      </c>
      <c r="AB13" s="330">
        <v>0</v>
      </c>
      <c r="AC13" s="281">
        <v>760</v>
      </c>
      <c r="AD13" s="281">
        <v>101277</v>
      </c>
      <c r="AE13" s="281">
        <v>37</v>
      </c>
      <c r="AF13" s="281">
        <v>1069</v>
      </c>
      <c r="AG13" s="281">
        <v>15</v>
      </c>
      <c r="AH13" s="288">
        <v>12.057142857142857</v>
      </c>
      <c r="AI13" s="287">
        <v>0</v>
      </c>
      <c r="AJ13" s="281">
        <v>47</v>
      </c>
      <c r="AK13" s="281">
        <v>1433</v>
      </c>
      <c r="AL13" s="281">
        <v>281</v>
      </c>
      <c r="AM13" s="281">
        <v>33</v>
      </c>
      <c r="AN13" s="281">
        <v>378</v>
      </c>
      <c r="AO13" s="300">
        <v>7</v>
      </c>
      <c r="AP13" s="300">
        <v>13</v>
      </c>
      <c r="AQ13" s="287">
        <v>0</v>
      </c>
      <c r="AR13" s="281">
        <v>232</v>
      </c>
      <c r="AS13" s="281">
        <v>18</v>
      </c>
      <c r="AT13" s="281">
        <v>300</v>
      </c>
      <c r="AU13" s="330">
        <v>0</v>
      </c>
      <c r="AV13" s="281">
        <v>46.861826697892276</v>
      </c>
      <c r="AW13" s="281">
        <v>40.138173302107731</v>
      </c>
      <c r="AX13" s="281">
        <v>10.028571428571428</v>
      </c>
      <c r="AY13" s="281">
        <v>50.636904761904766</v>
      </c>
      <c r="AZ13" s="281">
        <v>809</v>
      </c>
      <c r="BA13" s="281">
        <v>85</v>
      </c>
      <c r="BB13" s="281">
        <v>475</v>
      </c>
      <c r="BC13" s="281">
        <v>3000</v>
      </c>
      <c r="BD13" s="287">
        <v>0</v>
      </c>
      <c r="BE13" s="281">
        <v>12688</v>
      </c>
      <c r="BF13" s="281">
        <v>10</v>
      </c>
      <c r="BG13" s="302"/>
      <c r="BH13" s="281">
        <v>76</v>
      </c>
      <c r="BI13" s="281">
        <v>177</v>
      </c>
      <c r="BJ13" s="281">
        <v>22000</v>
      </c>
      <c r="BK13" s="287">
        <v>0</v>
      </c>
      <c r="BL13" s="281">
        <v>311.36309523809524</v>
      </c>
      <c r="BM13" s="281">
        <v>820</v>
      </c>
      <c r="BN13" s="281">
        <v>2242</v>
      </c>
      <c r="BO13" s="281">
        <v>751</v>
      </c>
      <c r="BP13" s="281">
        <v>1407</v>
      </c>
      <c r="BQ13" s="281">
        <v>1454</v>
      </c>
      <c r="BR13" s="281">
        <v>2000</v>
      </c>
      <c r="BS13" s="281">
        <v>21</v>
      </c>
      <c r="BT13" s="281">
        <v>2500</v>
      </c>
      <c r="BU13" s="281">
        <v>15000</v>
      </c>
      <c r="BV13" s="281">
        <v>5000</v>
      </c>
      <c r="BW13" s="281">
        <v>310</v>
      </c>
      <c r="BX13" s="281">
        <v>33000</v>
      </c>
      <c r="BY13" s="281">
        <v>74</v>
      </c>
      <c r="BZ13" s="281">
        <v>15000</v>
      </c>
      <c r="CA13" s="281">
        <v>49.853124999999999</v>
      </c>
      <c r="CB13" s="281">
        <v>251.14687499999999</v>
      </c>
      <c r="CC13" s="281">
        <v>965</v>
      </c>
      <c r="CD13" s="281">
        <v>500</v>
      </c>
      <c r="CE13" s="281">
        <v>300</v>
      </c>
      <c r="CF13" s="281">
        <v>5</v>
      </c>
      <c r="CG13" s="281">
        <v>710</v>
      </c>
      <c r="CH13" s="287">
        <v>0</v>
      </c>
      <c r="CI13" s="281">
        <v>92737</v>
      </c>
      <c r="CJ13" s="281">
        <v>235</v>
      </c>
      <c r="CK13" s="281">
        <v>6468</v>
      </c>
      <c r="CL13" s="281">
        <v>469</v>
      </c>
      <c r="CM13" s="281">
        <v>954</v>
      </c>
      <c r="CN13" s="281">
        <v>2000</v>
      </c>
      <c r="CO13" s="281">
        <v>243</v>
      </c>
      <c r="CP13" s="281"/>
      <c r="CQ13" s="281">
        <v>454.072</v>
      </c>
      <c r="CR13" s="281">
        <v>178.928</v>
      </c>
      <c r="CS13" s="281">
        <v>195</v>
      </c>
      <c r="CT13" s="281">
        <v>106.97142857142858</v>
      </c>
      <c r="CU13" s="281">
        <v>27</v>
      </c>
      <c r="CV13" s="287">
        <v>0</v>
      </c>
      <c r="CW13" s="287">
        <v>0</v>
      </c>
      <c r="CX13" s="281">
        <v>357391.00000000006</v>
      </c>
      <c r="DA13" s="63"/>
      <c r="DB13" s="19"/>
      <c r="DC13" s="19"/>
      <c r="DD13" s="19"/>
      <c r="DE13" s="19"/>
      <c r="DF13" s="19"/>
      <c r="DG13" s="19"/>
      <c r="DH13" s="19"/>
    </row>
    <row r="14" spans="1:112" ht="17.5" x14ac:dyDescent="0.45">
      <c r="A14" s="269" t="s">
        <v>49</v>
      </c>
      <c r="B14" s="281">
        <v>14</v>
      </c>
      <c r="C14" s="281">
        <v>81</v>
      </c>
      <c r="D14" s="281">
        <v>1719</v>
      </c>
      <c r="E14" s="281">
        <v>22</v>
      </c>
      <c r="F14" s="330">
        <v>0</v>
      </c>
      <c r="G14" s="281">
        <v>198.94285714285715</v>
      </c>
      <c r="H14" s="281">
        <v>81</v>
      </c>
      <c r="I14" s="281">
        <v>200</v>
      </c>
      <c r="J14" s="281">
        <v>100</v>
      </c>
      <c r="K14" s="281">
        <v>672</v>
      </c>
      <c r="L14" s="330">
        <v>0</v>
      </c>
      <c r="M14" s="281">
        <v>55</v>
      </c>
      <c r="N14" s="281">
        <v>1010</v>
      </c>
      <c r="O14" s="281">
        <v>219</v>
      </c>
      <c r="P14" s="281">
        <v>63</v>
      </c>
      <c r="Q14" s="281">
        <v>22</v>
      </c>
      <c r="R14" s="281">
        <v>35</v>
      </c>
      <c r="S14" s="330">
        <v>0</v>
      </c>
      <c r="T14" s="330">
        <v>0</v>
      </c>
      <c r="U14" s="330">
        <v>0</v>
      </c>
      <c r="V14" s="281">
        <v>634</v>
      </c>
      <c r="W14" s="281">
        <v>146</v>
      </c>
      <c r="X14" s="281">
        <v>32</v>
      </c>
      <c r="Y14" s="281">
        <v>14522</v>
      </c>
      <c r="Z14" s="330">
        <v>0</v>
      </c>
      <c r="AA14" s="281">
        <v>25</v>
      </c>
      <c r="AB14" s="281">
        <v>87</v>
      </c>
      <c r="AC14" s="281">
        <v>760</v>
      </c>
      <c r="AD14" s="281">
        <v>106201</v>
      </c>
      <c r="AE14" s="281">
        <v>370</v>
      </c>
      <c r="AF14" s="281">
        <v>1378</v>
      </c>
      <c r="AG14" s="281">
        <v>28</v>
      </c>
      <c r="AH14" s="288">
        <v>12.057142857142857</v>
      </c>
      <c r="AI14" s="287">
        <v>0</v>
      </c>
      <c r="AJ14" s="281">
        <v>28</v>
      </c>
      <c r="AK14" s="281">
        <v>1133</v>
      </c>
      <c r="AL14" s="281">
        <v>320</v>
      </c>
      <c r="AM14" s="281">
        <v>38</v>
      </c>
      <c r="AN14" s="281">
        <v>267</v>
      </c>
      <c r="AO14" s="300">
        <v>7</v>
      </c>
      <c r="AP14" s="300">
        <v>13</v>
      </c>
      <c r="AQ14" s="287">
        <v>0</v>
      </c>
      <c r="AR14" s="281">
        <v>752</v>
      </c>
      <c r="AS14" s="287">
        <v>0</v>
      </c>
      <c r="AT14" s="281">
        <v>300</v>
      </c>
      <c r="AU14" s="330">
        <v>0</v>
      </c>
      <c r="AV14" s="281">
        <v>46.861826697892276</v>
      </c>
      <c r="AW14" s="281">
        <v>40.138173302107731</v>
      </c>
      <c r="AX14" s="281">
        <v>19.114285714285714</v>
      </c>
      <c r="AY14" s="281">
        <v>46.720238095238095</v>
      </c>
      <c r="AZ14" s="281">
        <v>664</v>
      </c>
      <c r="BA14" s="281">
        <v>203</v>
      </c>
      <c r="BB14" s="281">
        <v>255</v>
      </c>
      <c r="BC14" s="281">
        <v>8000</v>
      </c>
      <c r="BD14" s="281">
        <v>27</v>
      </c>
      <c r="BE14" s="281">
        <v>12023</v>
      </c>
      <c r="BF14" s="287">
        <v>0</v>
      </c>
      <c r="BG14" s="302"/>
      <c r="BH14" s="281">
        <v>76</v>
      </c>
      <c r="BI14" s="281">
        <v>212</v>
      </c>
      <c r="BJ14" s="281">
        <v>22000</v>
      </c>
      <c r="BK14" s="281">
        <v>68</v>
      </c>
      <c r="BL14" s="281">
        <v>287.27976190476193</v>
      </c>
      <c r="BM14" s="281">
        <v>1741</v>
      </c>
      <c r="BN14" s="281">
        <v>1422</v>
      </c>
      <c r="BO14" s="281">
        <v>1515</v>
      </c>
      <c r="BP14" s="281">
        <v>976</v>
      </c>
      <c r="BQ14" s="281">
        <v>2041</v>
      </c>
      <c r="BR14" s="281">
        <v>2000</v>
      </c>
      <c r="BS14" s="281">
        <v>21</v>
      </c>
      <c r="BT14" s="281">
        <v>2500</v>
      </c>
      <c r="BU14" s="281">
        <v>15000</v>
      </c>
      <c r="BV14" s="281">
        <v>5000</v>
      </c>
      <c r="BW14" s="281">
        <v>310</v>
      </c>
      <c r="BX14" s="281">
        <v>43829</v>
      </c>
      <c r="BY14" s="281">
        <v>200</v>
      </c>
      <c r="BZ14" s="281">
        <v>15000</v>
      </c>
      <c r="CA14" s="281">
        <v>51.012500000000003</v>
      </c>
      <c r="CB14" s="281">
        <v>256.98750000000001</v>
      </c>
      <c r="CC14" s="281">
        <v>953</v>
      </c>
      <c r="CD14" s="281">
        <v>500</v>
      </c>
      <c r="CE14" s="281">
        <v>300</v>
      </c>
      <c r="CF14" s="281">
        <v>5</v>
      </c>
      <c r="CG14" s="281">
        <v>710</v>
      </c>
      <c r="CH14" s="281">
        <v>77</v>
      </c>
      <c r="CI14" s="281">
        <v>100034</v>
      </c>
      <c r="CJ14" s="281">
        <v>101</v>
      </c>
      <c r="CK14" s="281">
        <v>11162</v>
      </c>
      <c r="CL14" s="281">
        <v>474</v>
      </c>
      <c r="CM14" s="281">
        <v>602</v>
      </c>
      <c r="CN14" s="281">
        <v>2094</v>
      </c>
      <c r="CO14" s="281">
        <v>275</v>
      </c>
      <c r="CP14" s="281"/>
      <c r="CQ14" s="281">
        <v>625.5146666666667</v>
      </c>
      <c r="CR14" s="281">
        <v>246.48533333333333</v>
      </c>
      <c r="CS14" s="281">
        <v>180</v>
      </c>
      <c r="CT14" s="281">
        <v>203.88571428571427</v>
      </c>
      <c r="CU14" s="281">
        <v>27</v>
      </c>
      <c r="CV14" s="281">
        <v>13</v>
      </c>
      <c r="CW14" s="287">
        <v>0</v>
      </c>
      <c r="CX14" s="281">
        <v>385959</v>
      </c>
      <c r="DA14" s="63"/>
      <c r="DB14" s="19"/>
      <c r="DC14" s="19"/>
      <c r="DD14" s="19"/>
      <c r="DE14" s="19"/>
      <c r="DF14" s="19"/>
      <c r="DG14" s="19"/>
      <c r="DH14" s="19"/>
    </row>
    <row r="15" spans="1:112" ht="17.5" x14ac:dyDescent="0.45">
      <c r="A15" s="269" t="s">
        <v>50</v>
      </c>
      <c r="B15" s="281">
        <v>14</v>
      </c>
      <c r="C15" s="281">
        <v>76</v>
      </c>
      <c r="D15" s="281">
        <v>1148</v>
      </c>
      <c r="E15" s="281">
        <v>22</v>
      </c>
      <c r="F15" s="281">
        <v>4287</v>
      </c>
      <c r="G15" s="281">
        <v>231.94285714285715</v>
      </c>
      <c r="H15" s="281">
        <v>81</v>
      </c>
      <c r="I15" s="281">
        <v>200</v>
      </c>
      <c r="J15" s="281">
        <v>57</v>
      </c>
      <c r="K15" s="281">
        <v>672</v>
      </c>
      <c r="L15" s="281">
        <v>125</v>
      </c>
      <c r="M15" s="281">
        <v>55</v>
      </c>
      <c r="N15" s="281">
        <v>309</v>
      </c>
      <c r="O15" s="281">
        <v>202</v>
      </c>
      <c r="P15" s="281">
        <v>6</v>
      </c>
      <c r="Q15" s="281">
        <v>22</v>
      </c>
      <c r="R15" s="281">
        <v>80</v>
      </c>
      <c r="S15" s="281">
        <v>14</v>
      </c>
      <c r="T15" s="281">
        <v>106</v>
      </c>
      <c r="U15" s="330">
        <v>0</v>
      </c>
      <c r="V15" s="281">
        <v>626</v>
      </c>
      <c r="W15" s="281">
        <v>131</v>
      </c>
      <c r="X15" s="281">
        <v>52</v>
      </c>
      <c r="Y15" s="281">
        <v>14238</v>
      </c>
      <c r="Z15" s="281">
        <v>20</v>
      </c>
      <c r="AA15" s="281">
        <v>50</v>
      </c>
      <c r="AB15" s="281">
        <v>80</v>
      </c>
      <c r="AC15" s="281">
        <v>760</v>
      </c>
      <c r="AD15" s="281">
        <v>105163</v>
      </c>
      <c r="AE15" s="281">
        <v>136</v>
      </c>
      <c r="AF15" s="281">
        <v>1056</v>
      </c>
      <c r="AG15" s="281">
        <v>28</v>
      </c>
      <c r="AH15" s="288">
        <v>14.057142857142857</v>
      </c>
      <c r="AI15" s="287">
        <v>0</v>
      </c>
      <c r="AJ15" s="281">
        <v>56</v>
      </c>
      <c r="AK15" s="281">
        <v>1408</v>
      </c>
      <c r="AL15" s="281">
        <v>320</v>
      </c>
      <c r="AM15" s="287">
        <v>0</v>
      </c>
      <c r="AN15" s="281">
        <v>176</v>
      </c>
      <c r="AO15" s="301">
        <v>0</v>
      </c>
      <c r="AP15" s="301">
        <v>0</v>
      </c>
      <c r="AQ15" s="287">
        <v>0</v>
      </c>
      <c r="AR15" s="281">
        <v>1175</v>
      </c>
      <c r="AS15" s="281">
        <v>18</v>
      </c>
      <c r="AT15" s="281">
        <v>300</v>
      </c>
      <c r="AU15" s="330">
        <v>0</v>
      </c>
      <c r="AV15" s="281">
        <v>70.562060889929754</v>
      </c>
      <c r="AW15" s="281">
        <v>60.437939110070261</v>
      </c>
      <c r="AX15" s="281">
        <v>25.37142857142857</v>
      </c>
      <c r="AY15" s="281">
        <v>27.976190476190478</v>
      </c>
      <c r="AZ15" s="281">
        <v>633</v>
      </c>
      <c r="BA15" s="281">
        <v>338</v>
      </c>
      <c r="BB15" s="281">
        <v>685</v>
      </c>
      <c r="BC15" s="281">
        <v>4000</v>
      </c>
      <c r="BD15" s="281">
        <v>28</v>
      </c>
      <c r="BE15" s="281">
        <v>11509</v>
      </c>
      <c r="BF15" s="287">
        <v>0</v>
      </c>
      <c r="BG15" s="302"/>
      <c r="BH15" s="281">
        <v>76</v>
      </c>
      <c r="BI15" s="281">
        <v>248</v>
      </c>
      <c r="BJ15" s="281">
        <v>22000</v>
      </c>
      <c r="BK15" s="281">
        <v>91</v>
      </c>
      <c r="BL15" s="281">
        <v>172.02380952380955</v>
      </c>
      <c r="BM15" s="281">
        <v>410</v>
      </c>
      <c r="BN15" s="281">
        <v>1206</v>
      </c>
      <c r="BO15" s="281">
        <v>354</v>
      </c>
      <c r="BP15" s="281">
        <v>976</v>
      </c>
      <c r="BQ15" s="281">
        <v>500</v>
      </c>
      <c r="BR15" s="281">
        <v>2000</v>
      </c>
      <c r="BS15" s="281">
        <v>21</v>
      </c>
      <c r="BT15" s="281">
        <v>2500</v>
      </c>
      <c r="BU15" s="281">
        <v>15000</v>
      </c>
      <c r="BV15" s="281">
        <v>5000</v>
      </c>
      <c r="BW15" s="287">
        <v>0</v>
      </c>
      <c r="BX15" s="281">
        <v>27171</v>
      </c>
      <c r="BY15" s="281">
        <v>200</v>
      </c>
      <c r="BZ15" s="281">
        <v>15000</v>
      </c>
      <c r="CA15" s="281">
        <v>51.012500000000003</v>
      </c>
      <c r="CB15" s="281">
        <v>256.98750000000001</v>
      </c>
      <c r="CC15" s="281">
        <v>965</v>
      </c>
      <c r="CD15" s="281">
        <v>224</v>
      </c>
      <c r="CE15" s="281">
        <v>300</v>
      </c>
      <c r="CF15" s="281">
        <v>5</v>
      </c>
      <c r="CG15" s="281">
        <v>710</v>
      </c>
      <c r="CH15" s="281">
        <v>39</v>
      </c>
      <c r="CI15" s="281">
        <v>90512</v>
      </c>
      <c r="CJ15" s="281">
        <v>242</v>
      </c>
      <c r="CK15" s="281">
        <v>10179</v>
      </c>
      <c r="CL15" s="281">
        <v>200</v>
      </c>
      <c r="CM15" s="281">
        <v>1407</v>
      </c>
      <c r="CN15" s="281">
        <v>1906</v>
      </c>
      <c r="CO15" s="281">
        <v>268</v>
      </c>
      <c r="CP15" s="281"/>
      <c r="CQ15" s="287">
        <v>0</v>
      </c>
      <c r="CR15" s="287">
        <v>0</v>
      </c>
      <c r="CS15" s="281">
        <v>180</v>
      </c>
      <c r="CT15" s="281">
        <v>270.62857142857143</v>
      </c>
      <c r="CU15" s="281">
        <v>27</v>
      </c>
      <c r="CV15" s="281">
        <v>13</v>
      </c>
      <c r="CW15" s="281">
        <v>8</v>
      </c>
      <c r="CX15" s="281">
        <v>351581</v>
      </c>
      <c r="DA15" s="63"/>
      <c r="DB15" s="19"/>
      <c r="DC15" s="19"/>
      <c r="DD15" s="19"/>
      <c r="DE15" s="19"/>
      <c r="DF15" s="19"/>
      <c r="DG15" s="19"/>
      <c r="DH15" s="19"/>
    </row>
    <row r="16" spans="1:112" ht="17.5" x14ac:dyDescent="0.45">
      <c r="A16" s="269" t="s">
        <v>51</v>
      </c>
      <c r="B16" s="281">
        <v>14</v>
      </c>
      <c r="C16" s="281">
        <v>74</v>
      </c>
      <c r="D16" s="281">
        <v>1972</v>
      </c>
      <c r="E16" s="281">
        <v>22</v>
      </c>
      <c r="F16" s="281">
        <v>1157</v>
      </c>
      <c r="G16" s="281">
        <v>159.34285714285713</v>
      </c>
      <c r="H16" s="281">
        <v>63</v>
      </c>
      <c r="I16" s="281">
        <v>200</v>
      </c>
      <c r="J16" s="281">
        <v>74</v>
      </c>
      <c r="K16" s="281">
        <v>592</v>
      </c>
      <c r="L16" s="281">
        <v>123</v>
      </c>
      <c r="M16" s="281">
        <v>55</v>
      </c>
      <c r="N16" s="281">
        <v>697</v>
      </c>
      <c r="O16" s="281">
        <v>173</v>
      </c>
      <c r="P16" s="281">
        <v>91</v>
      </c>
      <c r="Q16" s="281">
        <v>18</v>
      </c>
      <c r="R16" s="281">
        <v>60</v>
      </c>
      <c r="S16" s="330">
        <v>0</v>
      </c>
      <c r="T16" s="330">
        <v>0</v>
      </c>
      <c r="U16" s="330">
        <v>0</v>
      </c>
      <c r="V16" s="281">
        <v>218</v>
      </c>
      <c r="W16" s="281">
        <v>120</v>
      </c>
      <c r="X16" s="281">
        <v>28</v>
      </c>
      <c r="Y16" s="281">
        <v>8902</v>
      </c>
      <c r="Z16" s="281">
        <v>15</v>
      </c>
      <c r="AA16" s="281">
        <v>37</v>
      </c>
      <c r="AB16" s="281">
        <v>65</v>
      </c>
      <c r="AC16" s="281">
        <v>760</v>
      </c>
      <c r="AD16" s="281">
        <v>80000</v>
      </c>
      <c r="AE16" s="281">
        <v>233</v>
      </c>
      <c r="AF16" s="281">
        <v>1166</v>
      </c>
      <c r="AG16" s="281">
        <v>26</v>
      </c>
      <c r="AH16" s="288">
        <v>9.6571428571428566</v>
      </c>
      <c r="AI16" s="287">
        <v>0</v>
      </c>
      <c r="AJ16" s="281">
        <v>27</v>
      </c>
      <c r="AK16" s="281">
        <v>1166</v>
      </c>
      <c r="AL16" s="281">
        <v>342</v>
      </c>
      <c r="AM16" s="287">
        <v>0</v>
      </c>
      <c r="AN16" s="281">
        <v>240</v>
      </c>
      <c r="AO16" s="300">
        <v>7</v>
      </c>
      <c r="AP16" s="300">
        <v>13</v>
      </c>
      <c r="AQ16" s="287">
        <v>0</v>
      </c>
      <c r="AR16" s="281">
        <v>745</v>
      </c>
      <c r="AS16" s="281">
        <v>20</v>
      </c>
      <c r="AT16" s="281">
        <v>300</v>
      </c>
      <c r="AU16" s="330">
        <v>0</v>
      </c>
      <c r="AV16" s="281">
        <v>51.7096018735363</v>
      </c>
      <c r="AW16" s="281">
        <v>44.2903981264637</v>
      </c>
      <c r="AX16" s="281">
        <v>30</v>
      </c>
      <c r="AY16" s="281">
        <v>47</v>
      </c>
      <c r="AZ16" s="281">
        <v>1029</v>
      </c>
      <c r="BA16" s="281">
        <v>85</v>
      </c>
      <c r="BB16" s="281">
        <v>585</v>
      </c>
      <c r="BC16" s="281">
        <v>6000</v>
      </c>
      <c r="BD16" s="281">
        <v>23</v>
      </c>
      <c r="BE16" s="281">
        <v>7959</v>
      </c>
      <c r="BF16" s="287">
        <v>0</v>
      </c>
      <c r="BG16" s="302"/>
      <c r="BH16" s="281">
        <v>76</v>
      </c>
      <c r="BI16" s="281">
        <v>186</v>
      </c>
      <c r="BJ16" s="281">
        <v>10337</v>
      </c>
      <c r="BK16" s="281">
        <v>73</v>
      </c>
      <c r="BL16" s="281">
        <v>289</v>
      </c>
      <c r="BM16" s="287">
        <v>0</v>
      </c>
      <c r="BN16" s="281">
        <v>2078</v>
      </c>
      <c r="BO16" s="281">
        <v>1400</v>
      </c>
      <c r="BP16" s="281">
        <v>896</v>
      </c>
      <c r="BQ16" s="281">
        <v>1538</v>
      </c>
      <c r="BR16" s="281">
        <v>848</v>
      </c>
      <c r="BS16" s="281">
        <v>16</v>
      </c>
      <c r="BT16" s="281">
        <v>2500</v>
      </c>
      <c r="BU16" s="281">
        <v>12600</v>
      </c>
      <c r="BV16" s="281">
        <v>2000</v>
      </c>
      <c r="BW16" s="281">
        <v>235</v>
      </c>
      <c r="BX16" s="281">
        <v>13000</v>
      </c>
      <c r="BY16" s="287">
        <v>0</v>
      </c>
      <c r="BZ16" s="281">
        <v>15000</v>
      </c>
      <c r="CA16" s="281">
        <v>53</v>
      </c>
      <c r="CB16" s="281">
        <v>267</v>
      </c>
      <c r="CC16" s="281">
        <v>801</v>
      </c>
      <c r="CD16" s="281">
        <v>776</v>
      </c>
      <c r="CE16" s="281">
        <v>300</v>
      </c>
      <c r="CF16" s="281">
        <v>4</v>
      </c>
      <c r="CG16" s="281">
        <v>330</v>
      </c>
      <c r="CH16" s="281">
        <v>39</v>
      </c>
      <c r="CI16" s="281">
        <v>75874</v>
      </c>
      <c r="CJ16" s="281">
        <v>162</v>
      </c>
      <c r="CK16" s="281">
        <v>8923</v>
      </c>
      <c r="CL16" s="281">
        <v>415</v>
      </c>
      <c r="CM16" s="281">
        <v>969</v>
      </c>
      <c r="CN16" s="281">
        <v>2000</v>
      </c>
      <c r="CO16" s="287">
        <v>0</v>
      </c>
      <c r="CP16" s="281"/>
      <c r="CQ16" s="281">
        <v>701.55200000000002</v>
      </c>
      <c r="CR16" s="281">
        <v>276.44799999999998</v>
      </c>
      <c r="CS16" s="281">
        <v>45</v>
      </c>
      <c r="CT16" s="281">
        <v>320</v>
      </c>
      <c r="CU16" s="281">
        <v>27</v>
      </c>
      <c r="CV16" s="281">
        <v>10</v>
      </c>
      <c r="CW16" s="287">
        <v>0</v>
      </c>
      <c r="CX16" s="281">
        <v>271203</v>
      </c>
      <c r="DA16" s="63"/>
      <c r="DB16" s="19"/>
      <c r="DC16" s="19"/>
      <c r="DD16" s="19"/>
      <c r="DE16" s="19"/>
      <c r="DF16" s="19"/>
      <c r="DG16" s="19"/>
      <c r="DH16" s="19"/>
    </row>
    <row r="17" spans="1:112" ht="17.5" x14ac:dyDescent="0.45">
      <c r="A17" s="269" t="s">
        <v>52</v>
      </c>
      <c r="B17" s="281">
        <v>3</v>
      </c>
      <c r="C17" s="281">
        <v>70</v>
      </c>
      <c r="D17" s="281">
        <v>1045</v>
      </c>
      <c r="E17" s="281">
        <v>34</v>
      </c>
      <c r="F17" s="281">
        <v>3359</v>
      </c>
      <c r="G17" s="281">
        <v>365.82857142857142</v>
      </c>
      <c r="H17" s="281">
        <v>94</v>
      </c>
      <c r="I17" s="281">
        <v>200</v>
      </c>
      <c r="J17" s="281">
        <v>322</v>
      </c>
      <c r="K17" s="281">
        <v>524</v>
      </c>
      <c r="L17" s="281">
        <v>107</v>
      </c>
      <c r="M17" s="330">
        <v>0</v>
      </c>
      <c r="N17" s="330">
        <v>0</v>
      </c>
      <c r="O17" s="281">
        <v>148</v>
      </c>
      <c r="P17" s="281">
        <v>20</v>
      </c>
      <c r="Q17" s="281">
        <v>40</v>
      </c>
      <c r="R17" s="281">
        <v>34</v>
      </c>
      <c r="S17" s="330">
        <v>0</v>
      </c>
      <c r="T17" s="330">
        <v>0</v>
      </c>
      <c r="U17" s="330">
        <v>0</v>
      </c>
      <c r="V17" s="281">
        <v>788</v>
      </c>
      <c r="W17" s="281">
        <v>116</v>
      </c>
      <c r="X17" s="281">
        <v>38</v>
      </c>
      <c r="Y17" s="281">
        <v>18997</v>
      </c>
      <c r="Z17" s="281">
        <v>3</v>
      </c>
      <c r="AA17" s="281">
        <v>12</v>
      </c>
      <c r="AB17" s="281">
        <v>91</v>
      </c>
      <c r="AC17" s="281">
        <v>1188</v>
      </c>
      <c r="AD17" s="281">
        <v>103750</v>
      </c>
      <c r="AE17" s="281">
        <v>222</v>
      </c>
      <c r="AF17" s="281">
        <v>936</v>
      </c>
      <c r="AG17" s="281">
        <v>10</v>
      </c>
      <c r="AH17" s="288">
        <v>22.171428571428571</v>
      </c>
      <c r="AI17" s="287">
        <v>0</v>
      </c>
      <c r="AJ17" s="281">
        <v>29</v>
      </c>
      <c r="AK17" s="281">
        <v>1972</v>
      </c>
      <c r="AL17" s="281">
        <v>1498</v>
      </c>
      <c r="AM17" s="281">
        <v>20</v>
      </c>
      <c r="AN17" s="281">
        <v>748</v>
      </c>
      <c r="AO17" s="300">
        <v>7.98</v>
      </c>
      <c r="AP17" s="300">
        <v>14.820000000000002</v>
      </c>
      <c r="AQ17" s="287">
        <v>0</v>
      </c>
      <c r="AR17" s="281">
        <v>1144</v>
      </c>
      <c r="AS17" s="281">
        <v>3</v>
      </c>
      <c r="AT17" s="281">
        <v>0</v>
      </c>
      <c r="AU17" s="330">
        <v>0</v>
      </c>
      <c r="AV17" s="281">
        <v>57.096018735363003</v>
      </c>
      <c r="AW17" s="281">
        <v>48.903981264637004</v>
      </c>
      <c r="AX17" s="281">
        <v>40.285714285714285</v>
      </c>
      <c r="AY17" s="281">
        <v>48.11904761904762</v>
      </c>
      <c r="AZ17" s="281">
        <v>291</v>
      </c>
      <c r="BA17" s="281">
        <v>172</v>
      </c>
      <c r="BB17" s="281">
        <v>670</v>
      </c>
      <c r="BC17" s="281">
        <v>9357</v>
      </c>
      <c r="BD17" s="281">
        <v>4</v>
      </c>
      <c r="BE17" s="281">
        <v>12070</v>
      </c>
      <c r="BF17" s="287">
        <v>0</v>
      </c>
      <c r="BG17" s="302"/>
      <c r="BH17" s="287">
        <v>0</v>
      </c>
      <c r="BI17" s="281">
        <v>329</v>
      </c>
      <c r="BJ17" s="281">
        <v>28163</v>
      </c>
      <c r="BK17" s="287">
        <v>0</v>
      </c>
      <c r="BL17" s="281">
        <v>295.88095238095241</v>
      </c>
      <c r="BM17" s="281">
        <v>1044</v>
      </c>
      <c r="BN17" s="281">
        <v>1639</v>
      </c>
      <c r="BO17" s="281">
        <v>1669</v>
      </c>
      <c r="BP17" s="281">
        <v>812</v>
      </c>
      <c r="BQ17" s="281">
        <v>2347</v>
      </c>
      <c r="BR17" s="281">
        <v>1362</v>
      </c>
      <c r="BS17" s="281">
        <v>6</v>
      </c>
      <c r="BT17" s="281">
        <v>1622</v>
      </c>
      <c r="BU17" s="281">
        <v>13500</v>
      </c>
      <c r="BV17" s="281">
        <v>6375</v>
      </c>
      <c r="BW17" s="281">
        <v>897</v>
      </c>
      <c r="BX17" s="281">
        <v>47750</v>
      </c>
      <c r="BY17" s="287">
        <v>0</v>
      </c>
      <c r="BZ17" s="281">
        <v>15134</v>
      </c>
      <c r="CA17" s="281">
        <v>122.23125</v>
      </c>
      <c r="CB17" s="281">
        <v>615.76874999999995</v>
      </c>
      <c r="CC17" s="281">
        <v>801</v>
      </c>
      <c r="CD17" s="287">
        <v>0</v>
      </c>
      <c r="CE17" s="287">
        <v>0</v>
      </c>
      <c r="CF17" s="281">
        <v>3</v>
      </c>
      <c r="CG17" s="281">
        <v>912</v>
      </c>
      <c r="CH17" s="281">
        <v>66</v>
      </c>
      <c r="CI17" s="281">
        <v>83284</v>
      </c>
      <c r="CJ17" s="281">
        <v>221</v>
      </c>
      <c r="CK17" s="281">
        <v>9884</v>
      </c>
      <c r="CL17" s="281">
        <v>314</v>
      </c>
      <c r="CM17" s="281">
        <v>883</v>
      </c>
      <c r="CN17" s="281">
        <v>1500</v>
      </c>
      <c r="CO17" s="287">
        <v>0</v>
      </c>
      <c r="CP17" s="281"/>
      <c r="CQ17" s="281">
        <v>489.22133333333335</v>
      </c>
      <c r="CR17" s="281">
        <v>192.77866666666668</v>
      </c>
      <c r="CS17" s="281">
        <v>17</v>
      </c>
      <c r="CT17" s="281">
        <v>429.71428571428572</v>
      </c>
      <c r="CU17" s="281">
        <v>27</v>
      </c>
      <c r="CV17" s="281">
        <v>26</v>
      </c>
      <c r="CW17" s="281">
        <v>16</v>
      </c>
      <c r="CX17" s="281">
        <v>383482.8</v>
      </c>
      <c r="DA17" s="63"/>
      <c r="DB17" s="19"/>
      <c r="DC17" s="19"/>
      <c r="DD17" s="19"/>
      <c r="DE17" s="19"/>
      <c r="DF17" s="19"/>
      <c r="DG17" s="19"/>
      <c r="DH17" s="19"/>
    </row>
    <row r="18" spans="1:112" ht="17.5" x14ac:dyDescent="0.45">
      <c r="A18" s="269" t="s">
        <v>53</v>
      </c>
      <c r="B18" s="281">
        <v>11</v>
      </c>
      <c r="C18" s="281">
        <v>60</v>
      </c>
      <c r="D18" s="281">
        <v>1295</v>
      </c>
      <c r="E18" s="281">
        <v>8</v>
      </c>
      <c r="F18" s="281">
        <v>1337</v>
      </c>
      <c r="G18" s="281">
        <v>-13.2</v>
      </c>
      <c r="H18" s="281">
        <v>-137</v>
      </c>
      <c r="I18" s="281">
        <v>150</v>
      </c>
      <c r="J18" s="281">
        <v>-174</v>
      </c>
      <c r="K18" s="281">
        <v>678</v>
      </c>
      <c r="L18" s="281">
        <v>67</v>
      </c>
      <c r="M18" s="281">
        <v>42</v>
      </c>
      <c r="N18" s="281">
        <v>504</v>
      </c>
      <c r="O18" s="281">
        <v>133</v>
      </c>
      <c r="P18" s="281">
        <v>83</v>
      </c>
      <c r="Q18" s="281">
        <v>17</v>
      </c>
      <c r="R18" s="281">
        <v>37</v>
      </c>
      <c r="S18" s="330">
        <v>0</v>
      </c>
      <c r="T18" s="330">
        <v>0</v>
      </c>
      <c r="U18" s="281">
        <v>255</v>
      </c>
      <c r="V18" s="281">
        <v>611</v>
      </c>
      <c r="W18" s="281">
        <v>124</v>
      </c>
      <c r="X18" s="281">
        <v>34</v>
      </c>
      <c r="Y18" s="281">
        <v>4868</v>
      </c>
      <c r="Z18" s="281">
        <v>25</v>
      </c>
      <c r="AA18" s="281">
        <v>63</v>
      </c>
      <c r="AB18" s="281">
        <v>39</v>
      </c>
      <c r="AC18" s="281">
        <v>-210</v>
      </c>
      <c r="AD18" s="281">
        <v>87017</v>
      </c>
      <c r="AE18" s="281">
        <v>90</v>
      </c>
      <c r="AF18" s="281">
        <v>825</v>
      </c>
      <c r="AG18" s="281">
        <v>36</v>
      </c>
      <c r="AH18" s="331">
        <v>-0.79999999999999993</v>
      </c>
      <c r="AI18" s="287">
        <v>0</v>
      </c>
      <c r="AJ18" s="281">
        <v>66</v>
      </c>
      <c r="AK18" s="281">
        <v>969</v>
      </c>
      <c r="AL18" s="281">
        <v>-793</v>
      </c>
      <c r="AM18" s="281">
        <v>40</v>
      </c>
      <c r="AN18" s="281">
        <v>-77</v>
      </c>
      <c r="AO18" s="300">
        <v>1.82</v>
      </c>
      <c r="AP18" s="300">
        <v>3.3800000000000008</v>
      </c>
      <c r="AQ18" s="287">
        <v>0</v>
      </c>
      <c r="AR18" s="281">
        <v>1368</v>
      </c>
      <c r="AS18" s="281">
        <v>27</v>
      </c>
      <c r="AT18" s="281">
        <v>225</v>
      </c>
      <c r="AU18" s="330">
        <v>0</v>
      </c>
      <c r="AV18" s="281">
        <v>9.1569086651053873</v>
      </c>
      <c r="AW18" s="281">
        <v>7.8430913348946136</v>
      </c>
      <c r="AX18" s="281">
        <v>4.628571428571429</v>
      </c>
      <c r="AY18" s="281">
        <v>42.104166666666664</v>
      </c>
      <c r="AZ18" s="281">
        <v>973</v>
      </c>
      <c r="BA18" s="281">
        <v>167</v>
      </c>
      <c r="BB18" s="281">
        <v>286</v>
      </c>
      <c r="BC18" s="281">
        <v>2743</v>
      </c>
      <c r="BD18" s="281">
        <v>39</v>
      </c>
      <c r="BE18" s="281">
        <v>10334</v>
      </c>
      <c r="BF18" s="281">
        <v>1</v>
      </c>
      <c r="BG18" s="302"/>
      <c r="BH18" s="287">
        <v>0</v>
      </c>
      <c r="BI18" s="281">
        <v>55</v>
      </c>
      <c r="BJ18" s="281">
        <v>16500</v>
      </c>
      <c r="BK18" s="287">
        <v>0</v>
      </c>
      <c r="BL18" s="281">
        <v>258.89583333333337</v>
      </c>
      <c r="BM18" s="281">
        <v>-428</v>
      </c>
      <c r="BN18" s="281">
        <v>1534</v>
      </c>
      <c r="BO18" s="281">
        <v>1041</v>
      </c>
      <c r="BP18" s="281">
        <v>1088</v>
      </c>
      <c r="BQ18" s="281">
        <v>1387</v>
      </c>
      <c r="BR18" s="281">
        <v>2790</v>
      </c>
      <c r="BS18" s="281">
        <v>25</v>
      </c>
      <c r="BT18" s="281">
        <v>2128</v>
      </c>
      <c r="BU18" s="281">
        <v>11400</v>
      </c>
      <c r="BV18" s="281">
        <v>4125</v>
      </c>
      <c r="BW18" s="281">
        <v>-450</v>
      </c>
      <c r="BX18" s="281">
        <v>34750</v>
      </c>
      <c r="BY18" s="287">
        <v>0</v>
      </c>
      <c r="BZ18" s="281">
        <v>11250</v>
      </c>
      <c r="CA18" s="281">
        <v>-42.731250000000003</v>
      </c>
      <c r="CB18" s="281">
        <v>-215.26875000000001</v>
      </c>
      <c r="CC18" s="281">
        <v>107</v>
      </c>
      <c r="CD18" s="281">
        <v>375</v>
      </c>
      <c r="CE18" s="281">
        <v>225</v>
      </c>
      <c r="CF18" s="281">
        <v>5</v>
      </c>
      <c r="CG18" s="281">
        <v>515</v>
      </c>
      <c r="CH18" s="281">
        <v>12</v>
      </c>
      <c r="CI18" s="281">
        <v>82484</v>
      </c>
      <c r="CJ18" s="281">
        <v>70</v>
      </c>
      <c r="CK18" s="281">
        <v>8560</v>
      </c>
      <c r="CL18" s="281">
        <v>201</v>
      </c>
      <c r="CM18" s="281">
        <v>719</v>
      </c>
      <c r="CN18" s="281">
        <v>1500</v>
      </c>
      <c r="CO18" s="287">
        <v>0</v>
      </c>
      <c r="CP18" s="281"/>
      <c r="CQ18" s="281">
        <v>309.88799999999998</v>
      </c>
      <c r="CR18" s="281">
        <v>122.11199999999999</v>
      </c>
      <c r="CS18" s="281">
        <v>28</v>
      </c>
      <c r="CT18" s="281">
        <v>49.371428571428574</v>
      </c>
      <c r="CU18" s="281">
        <v>10</v>
      </c>
      <c r="CV18" s="281">
        <v>-7</v>
      </c>
      <c r="CW18" s="281">
        <v>-2</v>
      </c>
      <c r="CX18" s="281">
        <v>296790.2</v>
      </c>
      <c r="DA18" s="63"/>
      <c r="DB18" s="19"/>
      <c r="DC18" s="19"/>
      <c r="DD18" s="19"/>
      <c r="DE18" s="19"/>
      <c r="DF18" s="19"/>
      <c r="DG18" s="19"/>
      <c r="DH18" s="19"/>
    </row>
    <row r="19" spans="1:112" ht="17.5" x14ac:dyDescent="0.45">
      <c r="A19" s="269" t="s">
        <v>54</v>
      </c>
      <c r="B19" s="281">
        <v>24</v>
      </c>
      <c r="C19" s="281">
        <v>75</v>
      </c>
      <c r="D19" s="281">
        <v>604</v>
      </c>
      <c r="E19" s="281">
        <v>-2</v>
      </c>
      <c r="F19" s="281">
        <v>1578</v>
      </c>
      <c r="G19" s="281">
        <v>237.6</v>
      </c>
      <c r="H19" s="281">
        <v>89</v>
      </c>
      <c r="I19" s="281">
        <v>150</v>
      </c>
      <c r="J19" s="281">
        <v>100</v>
      </c>
      <c r="K19" s="281">
        <v>478</v>
      </c>
      <c r="L19" s="281">
        <v>44</v>
      </c>
      <c r="M19" s="281">
        <v>-1</v>
      </c>
      <c r="N19" s="281">
        <v>1102</v>
      </c>
      <c r="O19" s="281">
        <v>138</v>
      </c>
      <c r="P19" s="281">
        <v>111</v>
      </c>
      <c r="Q19" s="281">
        <v>1</v>
      </c>
      <c r="R19" s="330">
        <v>0</v>
      </c>
      <c r="S19" s="330">
        <v>0</v>
      </c>
      <c r="T19" s="330">
        <v>0</v>
      </c>
      <c r="U19" s="330">
        <v>0</v>
      </c>
      <c r="V19" s="281">
        <v>-135</v>
      </c>
      <c r="W19" s="330">
        <v>0</v>
      </c>
      <c r="X19" s="330">
        <v>0</v>
      </c>
      <c r="Y19" s="281">
        <v>14447</v>
      </c>
      <c r="Z19" s="281">
        <v>20</v>
      </c>
      <c r="AA19" s="281">
        <v>37</v>
      </c>
      <c r="AB19" s="281">
        <v>65</v>
      </c>
      <c r="AC19" s="281">
        <v>500</v>
      </c>
      <c r="AD19" s="281">
        <v>16801</v>
      </c>
      <c r="AE19" s="281">
        <v>278</v>
      </c>
      <c r="AF19" s="281">
        <v>553</v>
      </c>
      <c r="AG19" s="281">
        <v>28</v>
      </c>
      <c r="AH19" s="288">
        <v>14.4</v>
      </c>
      <c r="AI19" s="287">
        <v>0</v>
      </c>
      <c r="AJ19" s="281">
        <v>94</v>
      </c>
      <c r="AK19" s="281">
        <v>941</v>
      </c>
      <c r="AL19" s="281">
        <v>346</v>
      </c>
      <c r="AM19" s="281">
        <v>39</v>
      </c>
      <c r="AN19" s="281">
        <v>239</v>
      </c>
      <c r="AO19" s="300">
        <v>3.4299999999999997</v>
      </c>
      <c r="AP19" s="300">
        <v>6.370000000000001</v>
      </c>
      <c r="AQ19" s="287">
        <v>0</v>
      </c>
      <c r="AR19" s="287">
        <v>0</v>
      </c>
      <c r="AS19" s="281">
        <v>20</v>
      </c>
      <c r="AT19" s="281">
        <v>285</v>
      </c>
      <c r="AU19" s="330">
        <v>0</v>
      </c>
      <c r="AV19" s="281">
        <v>51.7096018735363</v>
      </c>
      <c r="AW19" s="281">
        <v>44.2903981264637</v>
      </c>
      <c r="AX19" s="281">
        <v>15.342857142857143</v>
      </c>
      <c r="AY19" s="281">
        <v>17.06547619047619</v>
      </c>
      <c r="AZ19" s="281">
        <v>221</v>
      </c>
      <c r="BA19" s="281">
        <v>433</v>
      </c>
      <c r="BB19" s="281">
        <v>398</v>
      </c>
      <c r="BC19" s="281">
        <v>8900</v>
      </c>
      <c r="BD19" s="281">
        <v>24</v>
      </c>
      <c r="BE19" s="281">
        <v>7683</v>
      </c>
      <c r="BF19" s="287">
        <v>0</v>
      </c>
      <c r="BG19" s="302"/>
      <c r="BH19" s="281">
        <v>76</v>
      </c>
      <c r="BI19" s="281">
        <v>195</v>
      </c>
      <c r="BJ19" s="281">
        <v>13288</v>
      </c>
      <c r="BK19" s="281">
        <v>91</v>
      </c>
      <c r="BL19" s="281">
        <v>104.93452380952381</v>
      </c>
      <c r="BM19" s="281">
        <v>410</v>
      </c>
      <c r="BN19" s="281">
        <v>1038</v>
      </c>
      <c r="BO19" s="281">
        <v>476</v>
      </c>
      <c r="BP19" s="281">
        <v>620</v>
      </c>
      <c r="BQ19" s="281">
        <v>1951</v>
      </c>
      <c r="BR19" s="281">
        <v>1626</v>
      </c>
      <c r="BS19" s="281">
        <v>21</v>
      </c>
      <c r="BT19" s="281">
        <v>2000</v>
      </c>
      <c r="BU19" s="281">
        <v>11697</v>
      </c>
      <c r="BV19" s="281">
        <v>4500</v>
      </c>
      <c r="BW19" s="287">
        <v>0</v>
      </c>
      <c r="BX19" s="281">
        <v>26326</v>
      </c>
      <c r="BY19" s="287">
        <v>0</v>
      </c>
      <c r="BZ19" s="281">
        <v>7984</v>
      </c>
      <c r="CA19" s="281">
        <v>40.743749999999999</v>
      </c>
      <c r="CB19" s="281">
        <v>205.25624999999999</v>
      </c>
      <c r="CC19" s="281">
        <v>1049</v>
      </c>
      <c r="CD19" s="281">
        <v>200</v>
      </c>
      <c r="CE19" s="287">
        <v>0</v>
      </c>
      <c r="CF19" s="281">
        <v>5</v>
      </c>
      <c r="CG19" s="281">
        <v>17</v>
      </c>
      <c r="CH19" s="287">
        <v>0</v>
      </c>
      <c r="CI19" s="281">
        <v>69813</v>
      </c>
      <c r="CJ19" s="281">
        <v>141</v>
      </c>
      <c r="CK19" s="281">
        <v>9800</v>
      </c>
      <c r="CL19" s="281">
        <v>191</v>
      </c>
      <c r="CM19" s="281">
        <v>560</v>
      </c>
      <c r="CN19" s="281">
        <v>500</v>
      </c>
      <c r="CO19" s="287">
        <v>0</v>
      </c>
      <c r="CP19" s="281"/>
      <c r="CQ19" s="281">
        <v>381.62133333333333</v>
      </c>
      <c r="CR19" s="281">
        <v>150.37866666666667</v>
      </c>
      <c r="CS19" s="281">
        <v>56</v>
      </c>
      <c r="CT19" s="281">
        <v>163.65714285714284</v>
      </c>
      <c r="CU19" s="281">
        <v>27</v>
      </c>
      <c r="CV19" s="281">
        <v>13</v>
      </c>
      <c r="CW19" s="281">
        <v>8</v>
      </c>
      <c r="CX19" s="281">
        <v>212823.80000000002</v>
      </c>
      <c r="DA19" s="63"/>
      <c r="DB19" s="19"/>
      <c r="DC19" s="19"/>
      <c r="DD19" s="19"/>
      <c r="DE19" s="19"/>
      <c r="DF19" s="19"/>
      <c r="DG19" s="19"/>
      <c r="DH19" s="19"/>
    </row>
    <row r="20" spans="1:112" ht="17.5" x14ac:dyDescent="0.45">
      <c r="A20" s="269" t="s">
        <v>55</v>
      </c>
      <c r="B20" s="281">
        <v>24</v>
      </c>
      <c r="C20" s="281">
        <v>77</v>
      </c>
      <c r="D20" s="281">
        <v>956</v>
      </c>
      <c r="E20" s="281">
        <v>24</v>
      </c>
      <c r="F20" s="281">
        <v>2630</v>
      </c>
      <c r="G20" s="281">
        <v>233.82857142857142</v>
      </c>
      <c r="H20" s="281">
        <v>989</v>
      </c>
      <c r="I20" s="281">
        <v>200</v>
      </c>
      <c r="J20" s="281">
        <v>75</v>
      </c>
      <c r="K20" s="281">
        <v>323</v>
      </c>
      <c r="L20" s="330">
        <v>0</v>
      </c>
      <c r="M20" s="281">
        <v>11</v>
      </c>
      <c r="N20" s="281">
        <v>576</v>
      </c>
      <c r="O20" s="281">
        <v>156</v>
      </c>
      <c r="P20" s="281">
        <v>47</v>
      </c>
      <c r="Q20" s="330">
        <v>0</v>
      </c>
      <c r="R20" s="281">
        <v>37</v>
      </c>
      <c r="S20" s="330">
        <v>0</v>
      </c>
      <c r="T20" s="330">
        <v>0</v>
      </c>
      <c r="U20" s="330">
        <v>0</v>
      </c>
      <c r="V20" s="281">
        <v>744</v>
      </c>
      <c r="W20" s="281">
        <v>119</v>
      </c>
      <c r="X20" s="281">
        <v>40</v>
      </c>
      <c r="Y20" s="281">
        <v>8613</v>
      </c>
      <c r="Z20" s="281">
        <v>15</v>
      </c>
      <c r="AA20" s="281">
        <v>37</v>
      </c>
      <c r="AB20" s="281">
        <v>65</v>
      </c>
      <c r="AC20" s="281">
        <v>500</v>
      </c>
      <c r="AD20" s="281">
        <v>44953</v>
      </c>
      <c r="AE20" s="281">
        <v>192</v>
      </c>
      <c r="AF20" s="281">
        <v>160</v>
      </c>
      <c r="AG20" s="281">
        <v>28</v>
      </c>
      <c r="AH20" s="288">
        <v>14.171428571428571</v>
      </c>
      <c r="AI20" s="287">
        <v>0</v>
      </c>
      <c r="AJ20" s="281">
        <v>71</v>
      </c>
      <c r="AK20" s="281">
        <v>228</v>
      </c>
      <c r="AL20" s="281">
        <v>346</v>
      </c>
      <c r="AM20" s="281">
        <v>39</v>
      </c>
      <c r="AN20" s="281">
        <v>317</v>
      </c>
      <c r="AO20" s="300">
        <v>7</v>
      </c>
      <c r="AP20" s="300">
        <v>13</v>
      </c>
      <c r="AQ20" s="287">
        <v>0</v>
      </c>
      <c r="AR20" s="281">
        <v>960</v>
      </c>
      <c r="AS20" s="281">
        <v>15</v>
      </c>
      <c r="AT20" s="281">
        <v>212</v>
      </c>
      <c r="AU20" s="330">
        <v>0</v>
      </c>
      <c r="AV20" s="281">
        <v>46.861826697892276</v>
      </c>
      <c r="AW20" s="281">
        <v>40.138173302107731</v>
      </c>
      <c r="AX20" s="281">
        <v>22.542857142857144</v>
      </c>
      <c r="AY20" s="281">
        <v>5.1755952380952381</v>
      </c>
      <c r="AZ20" s="281">
        <v>507</v>
      </c>
      <c r="BA20" s="281">
        <v>228</v>
      </c>
      <c r="BB20" s="281">
        <v>610</v>
      </c>
      <c r="BC20" s="281">
        <v>4500</v>
      </c>
      <c r="BD20" s="281">
        <v>23</v>
      </c>
      <c r="BE20" s="281">
        <v>12681</v>
      </c>
      <c r="BF20" s="287">
        <v>0</v>
      </c>
      <c r="BG20" s="302"/>
      <c r="BH20" s="287">
        <v>0</v>
      </c>
      <c r="BI20" s="281">
        <v>133</v>
      </c>
      <c r="BJ20" s="281">
        <v>25212</v>
      </c>
      <c r="BK20" s="281">
        <v>73</v>
      </c>
      <c r="BL20" s="281">
        <v>31.824404761904763</v>
      </c>
      <c r="BM20" s="281">
        <v>410</v>
      </c>
      <c r="BN20" s="281">
        <v>2663</v>
      </c>
      <c r="BO20" s="281">
        <v>1429</v>
      </c>
      <c r="BP20" s="287">
        <v>0</v>
      </c>
      <c r="BQ20" s="281">
        <v>1273</v>
      </c>
      <c r="BR20" s="281">
        <v>1757</v>
      </c>
      <c r="BS20" s="281">
        <v>8</v>
      </c>
      <c r="BT20" s="281">
        <v>570</v>
      </c>
      <c r="BU20" s="281">
        <v>6899</v>
      </c>
      <c r="BV20" s="281">
        <v>2395</v>
      </c>
      <c r="BW20" s="281">
        <v>310</v>
      </c>
      <c r="BX20" s="281">
        <v>24849</v>
      </c>
      <c r="BY20" s="287">
        <v>0</v>
      </c>
      <c r="BZ20" s="281">
        <v>18266</v>
      </c>
      <c r="CA20" s="281">
        <v>2.8156249999999998</v>
      </c>
      <c r="CB20" s="281">
        <v>14.184374999999999</v>
      </c>
      <c r="CC20" s="281">
        <v>486</v>
      </c>
      <c r="CD20" s="281">
        <v>675</v>
      </c>
      <c r="CE20" s="281">
        <v>461</v>
      </c>
      <c r="CF20" s="281">
        <v>4</v>
      </c>
      <c r="CG20" s="281">
        <v>1236</v>
      </c>
      <c r="CH20" s="287">
        <v>0</v>
      </c>
      <c r="CI20" s="281">
        <v>95998</v>
      </c>
      <c r="CJ20" s="281">
        <v>155</v>
      </c>
      <c r="CK20" s="281">
        <v>6596</v>
      </c>
      <c r="CL20" s="281">
        <v>167</v>
      </c>
      <c r="CM20" s="281">
        <v>917</v>
      </c>
      <c r="CN20" s="281">
        <v>2165</v>
      </c>
      <c r="CO20" s="281">
        <v>206</v>
      </c>
      <c r="CP20" s="281"/>
      <c r="CQ20" s="281">
        <v>403.85866666666669</v>
      </c>
      <c r="CR20" s="281">
        <v>159.14133333333334</v>
      </c>
      <c r="CS20" s="281">
        <v>143</v>
      </c>
      <c r="CT20" s="281">
        <v>240.45714285714286</v>
      </c>
      <c r="CU20" s="287">
        <v>0</v>
      </c>
      <c r="CV20" s="287">
        <v>0</v>
      </c>
      <c r="CW20" s="281">
        <v>8</v>
      </c>
      <c r="CX20" s="281">
        <v>279027</v>
      </c>
      <c r="DA20" s="63"/>
      <c r="DB20" s="19"/>
      <c r="DC20" s="19"/>
      <c r="DD20" s="19"/>
      <c r="DE20" s="19"/>
      <c r="DF20" s="19"/>
      <c r="DG20" s="19"/>
      <c r="DH20" s="19"/>
    </row>
    <row r="21" spans="1:112" ht="17.5" x14ac:dyDescent="0.45">
      <c r="A21" s="269" t="s">
        <v>56</v>
      </c>
      <c r="B21" s="330">
        <v>0</v>
      </c>
      <c r="C21" s="281">
        <v>75</v>
      </c>
      <c r="D21" s="281">
        <v>2324</v>
      </c>
      <c r="E21" s="281">
        <v>24</v>
      </c>
      <c r="F21" s="281">
        <v>1934</v>
      </c>
      <c r="G21" s="281">
        <v>233.82857142857142</v>
      </c>
      <c r="H21" s="281">
        <v>431</v>
      </c>
      <c r="I21" s="281">
        <v>150</v>
      </c>
      <c r="J21" s="281">
        <v>100</v>
      </c>
      <c r="K21" s="281">
        <v>347</v>
      </c>
      <c r="L21" s="281">
        <v>117</v>
      </c>
      <c r="M21" s="330">
        <v>0</v>
      </c>
      <c r="N21" s="281">
        <v>2</v>
      </c>
      <c r="O21" s="330">
        <v>0</v>
      </c>
      <c r="P21" s="281">
        <v>60</v>
      </c>
      <c r="Q21" s="330">
        <v>0</v>
      </c>
      <c r="R21" s="281">
        <v>80</v>
      </c>
      <c r="S21" s="330">
        <v>0</v>
      </c>
      <c r="T21" s="330">
        <v>0</v>
      </c>
      <c r="U21" s="330">
        <v>0</v>
      </c>
      <c r="V21" s="330">
        <v>0</v>
      </c>
      <c r="W21" s="281">
        <v>131</v>
      </c>
      <c r="X21" s="281">
        <v>20</v>
      </c>
      <c r="Y21" s="281">
        <v>9417</v>
      </c>
      <c r="Z21" s="330">
        <v>0</v>
      </c>
      <c r="AA21" s="281">
        <v>50</v>
      </c>
      <c r="AB21" s="330">
        <v>0</v>
      </c>
      <c r="AC21" s="281">
        <v>760</v>
      </c>
      <c r="AD21" s="281">
        <v>105000</v>
      </c>
      <c r="AE21" s="281">
        <v>118</v>
      </c>
      <c r="AF21" s="281">
        <v>1150</v>
      </c>
      <c r="AG21" s="281">
        <v>28</v>
      </c>
      <c r="AH21" s="288">
        <v>14.171428571428571</v>
      </c>
      <c r="AI21" s="287">
        <v>0</v>
      </c>
      <c r="AJ21" s="281">
        <v>22</v>
      </c>
      <c r="AK21" s="281">
        <v>1410</v>
      </c>
      <c r="AL21" s="281">
        <v>267</v>
      </c>
      <c r="AM21" s="281">
        <v>39</v>
      </c>
      <c r="AN21" s="281">
        <v>300</v>
      </c>
      <c r="AO21" s="300">
        <v>5.25</v>
      </c>
      <c r="AP21" s="300">
        <v>9.75</v>
      </c>
      <c r="AQ21" s="283">
        <v>0</v>
      </c>
      <c r="AR21" s="281">
        <v>720</v>
      </c>
      <c r="AS21" s="281">
        <v>20</v>
      </c>
      <c r="AT21" s="281">
        <v>283</v>
      </c>
      <c r="AU21" s="330">
        <v>0</v>
      </c>
      <c r="AV21" s="281">
        <v>107.72833723653396</v>
      </c>
      <c r="AW21" s="281">
        <v>92.27166276346604</v>
      </c>
      <c r="AX21" s="281">
        <v>3.8571428571428572</v>
      </c>
      <c r="AY21" s="281">
        <v>11.470238095238095</v>
      </c>
      <c r="AZ21" s="281">
        <v>384</v>
      </c>
      <c r="BA21" s="281">
        <v>198</v>
      </c>
      <c r="BB21" s="281">
        <v>458</v>
      </c>
      <c r="BC21" s="281">
        <v>10201</v>
      </c>
      <c r="BD21" s="281">
        <v>30</v>
      </c>
      <c r="BE21" s="281">
        <v>5861</v>
      </c>
      <c r="BF21" s="283">
        <v>0</v>
      </c>
      <c r="BG21" s="302"/>
      <c r="BH21" s="283">
        <v>0</v>
      </c>
      <c r="BI21" s="281">
        <v>177</v>
      </c>
      <c r="BJ21" s="281">
        <v>10267</v>
      </c>
      <c r="BK21" s="281">
        <v>98</v>
      </c>
      <c r="BL21" s="281">
        <v>70.529761904761912</v>
      </c>
      <c r="BM21" s="281">
        <v>410</v>
      </c>
      <c r="BN21" s="281">
        <v>443</v>
      </c>
      <c r="BO21" s="281">
        <v>364</v>
      </c>
      <c r="BP21" s="283">
        <v>0</v>
      </c>
      <c r="BQ21" s="281">
        <v>1821</v>
      </c>
      <c r="BR21" s="281">
        <v>2207</v>
      </c>
      <c r="BS21" s="283">
        <v>0</v>
      </c>
      <c r="BT21" s="281">
        <v>1805</v>
      </c>
      <c r="BU21" s="281">
        <v>13796</v>
      </c>
      <c r="BV21" s="283">
        <v>0</v>
      </c>
      <c r="BW21" s="281">
        <v>310</v>
      </c>
      <c r="BX21" s="281">
        <v>18167</v>
      </c>
      <c r="BY21" s="283">
        <v>0</v>
      </c>
      <c r="BZ21" s="281">
        <v>5046</v>
      </c>
      <c r="CA21" s="281">
        <v>43.393749999999997</v>
      </c>
      <c r="CB21" s="281">
        <v>218.60624999999999</v>
      </c>
      <c r="CC21" s="281">
        <v>966</v>
      </c>
      <c r="CD21" s="283">
        <v>0</v>
      </c>
      <c r="CE21" s="281">
        <v>364</v>
      </c>
      <c r="CF21" s="281">
        <v>4</v>
      </c>
      <c r="CG21" s="281">
        <v>7</v>
      </c>
      <c r="CH21" s="281">
        <v>270</v>
      </c>
      <c r="CI21" s="281">
        <v>68243</v>
      </c>
      <c r="CJ21" s="287">
        <v>0</v>
      </c>
      <c r="CK21" s="281">
        <v>4197</v>
      </c>
      <c r="CL21" s="281">
        <v>200</v>
      </c>
      <c r="CM21" s="281">
        <v>691</v>
      </c>
      <c r="CN21" s="281">
        <v>2556</v>
      </c>
      <c r="CO21" s="283">
        <v>0</v>
      </c>
      <c r="CP21" s="281"/>
      <c r="CQ21" s="281">
        <v>538</v>
      </c>
      <c r="CR21" s="281">
        <v>212</v>
      </c>
      <c r="CS21" s="281">
        <v>166</v>
      </c>
      <c r="CT21" s="281">
        <v>41.142857142857146</v>
      </c>
      <c r="CU21" s="283">
        <v>0</v>
      </c>
      <c r="CV21" s="332">
        <v>0</v>
      </c>
      <c r="CW21" s="281">
        <v>4</v>
      </c>
      <c r="CX21" s="281">
        <v>276692</v>
      </c>
      <c r="DA21" s="63"/>
      <c r="DB21" s="19"/>
      <c r="DC21" s="19"/>
      <c r="DD21" s="19"/>
      <c r="DE21" s="19"/>
      <c r="DF21" s="19"/>
      <c r="DG21" s="19"/>
      <c r="DH21" s="19"/>
    </row>
    <row r="22" spans="1:112" ht="17.5" x14ac:dyDescent="0.45">
      <c r="A22" s="269" t="s">
        <v>57</v>
      </c>
      <c r="B22" s="330">
        <v>0</v>
      </c>
      <c r="C22" s="281">
        <v>75</v>
      </c>
      <c r="D22" s="281">
        <v>858</v>
      </c>
      <c r="E22" s="287">
        <v>0</v>
      </c>
      <c r="F22" s="281">
        <v>2756</v>
      </c>
      <c r="G22" s="281">
        <v>206.48571428571429</v>
      </c>
      <c r="H22" s="281">
        <v>421</v>
      </c>
      <c r="I22" s="281">
        <v>200</v>
      </c>
      <c r="J22" s="281">
        <v>100</v>
      </c>
      <c r="K22" s="281">
        <v>650</v>
      </c>
      <c r="L22" s="281">
        <v>66</v>
      </c>
      <c r="M22" s="330">
        <v>0</v>
      </c>
      <c r="N22" s="281">
        <v>672</v>
      </c>
      <c r="O22" s="281">
        <v>285</v>
      </c>
      <c r="P22" s="281">
        <v>60</v>
      </c>
      <c r="Q22" s="330">
        <v>0</v>
      </c>
      <c r="R22" s="281">
        <v>17</v>
      </c>
      <c r="S22" s="330">
        <v>0</v>
      </c>
      <c r="T22" s="330">
        <v>0</v>
      </c>
      <c r="U22" s="281">
        <v>340</v>
      </c>
      <c r="V22" s="281">
        <v>1318</v>
      </c>
      <c r="W22" s="281">
        <v>131</v>
      </c>
      <c r="X22" s="281">
        <v>40</v>
      </c>
      <c r="Y22" s="281">
        <v>8004</v>
      </c>
      <c r="Z22" s="281">
        <v>20</v>
      </c>
      <c r="AA22" s="281">
        <v>50</v>
      </c>
      <c r="AB22" s="281">
        <v>87</v>
      </c>
      <c r="AC22" s="281">
        <v>678</v>
      </c>
      <c r="AD22" s="281">
        <v>110764</v>
      </c>
      <c r="AE22" s="281">
        <v>210</v>
      </c>
      <c r="AF22" s="281">
        <v>1651</v>
      </c>
      <c r="AG22" s="281">
        <v>28</v>
      </c>
      <c r="AH22" s="288">
        <v>12.514285714285714</v>
      </c>
      <c r="AI22" s="287">
        <v>0</v>
      </c>
      <c r="AJ22" s="281">
        <v>76</v>
      </c>
      <c r="AK22" s="281">
        <v>1589</v>
      </c>
      <c r="AL22" s="281">
        <v>433</v>
      </c>
      <c r="AM22" s="281">
        <v>39</v>
      </c>
      <c r="AN22" s="281">
        <v>276</v>
      </c>
      <c r="AO22" s="300">
        <v>8.33</v>
      </c>
      <c r="AP22" s="300">
        <v>15.470000000000002</v>
      </c>
      <c r="AQ22" s="283">
        <v>0</v>
      </c>
      <c r="AR22" s="281">
        <v>960</v>
      </c>
      <c r="AS22" s="281">
        <v>20</v>
      </c>
      <c r="AT22" s="281">
        <v>79</v>
      </c>
      <c r="AU22" s="330">
        <v>0</v>
      </c>
      <c r="AV22" s="281">
        <v>46.861826697892276</v>
      </c>
      <c r="AW22" s="281">
        <v>40.138173302107731</v>
      </c>
      <c r="AX22" s="281">
        <v>3.8571428571428572</v>
      </c>
      <c r="AY22" s="281">
        <v>40.425595238095241</v>
      </c>
      <c r="AZ22" s="281">
        <v>318</v>
      </c>
      <c r="BA22" s="281">
        <v>232</v>
      </c>
      <c r="BB22" s="281">
        <v>610</v>
      </c>
      <c r="BC22" s="281">
        <v>6299</v>
      </c>
      <c r="BD22" s="281">
        <v>30</v>
      </c>
      <c r="BE22" s="281">
        <v>11034</v>
      </c>
      <c r="BF22" s="283">
        <v>0</v>
      </c>
      <c r="BG22" s="302"/>
      <c r="BH22" s="283">
        <v>0</v>
      </c>
      <c r="BI22" s="281">
        <v>177</v>
      </c>
      <c r="BJ22" s="281">
        <v>31385</v>
      </c>
      <c r="BK22" s="281">
        <v>98</v>
      </c>
      <c r="BL22" s="281">
        <v>248.57440476190479</v>
      </c>
      <c r="BM22" s="281">
        <v>410</v>
      </c>
      <c r="BN22" s="281">
        <v>1482</v>
      </c>
      <c r="BO22" s="281">
        <v>1310</v>
      </c>
      <c r="BP22" s="281">
        <v>976</v>
      </c>
      <c r="BQ22" s="281">
        <v>492</v>
      </c>
      <c r="BR22" s="281">
        <v>754</v>
      </c>
      <c r="BS22" s="283">
        <v>0</v>
      </c>
      <c r="BT22" s="281">
        <v>2539</v>
      </c>
      <c r="BU22" s="281">
        <v>14380</v>
      </c>
      <c r="BV22" s="281">
        <v>8992</v>
      </c>
      <c r="BW22" s="281">
        <v>310</v>
      </c>
      <c r="BX22" s="281">
        <v>21567</v>
      </c>
      <c r="BY22" s="283">
        <v>0</v>
      </c>
      <c r="BZ22" s="281">
        <v>13992</v>
      </c>
      <c r="CA22" s="281">
        <v>37.265625</v>
      </c>
      <c r="CB22" s="281">
        <v>187.734375</v>
      </c>
      <c r="CC22" s="281">
        <v>705</v>
      </c>
      <c r="CD22" s="281">
        <v>500</v>
      </c>
      <c r="CE22" s="283">
        <v>0</v>
      </c>
      <c r="CF22" s="281">
        <v>3</v>
      </c>
      <c r="CG22" s="281">
        <v>710</v>
      </c>
      <c r="CH22" s="281">
        <v>-196</v>
      </c>
      <c r="CI22" s="281">
        <v>76490</v>
      </c>
      <c r="CJ22" s="281">
        <v>148</v>
      </c>
      <c r="CK22" s="281">
        <v>10149</v>
      </c>
      <c r="CL22" s="281">
        <v>35</v>
      </c>
      <c r="CM22" s="281">
        <v>1169</v>
      </c>
      <c r="CN22" s="281">
        <v>1052</v>
      </c>
      <c r="CO22" s="281">
        <v>275</v>
      </c>
      <c r="CP22" s="281"/>
      <c r="CQ22" s="281">
        <v>538</v>
      </c>
      <c r="CR22" s="281">
        <v>212</v>
      </c>
      <c r="CS22" s="283">
        <v>0</v>
      </c>
      <c r="CT22" s="281">
        <v>41.142857142857146</v>
      </c>
      <c r="CU22" s="283">
        <v>0</v>
      </c>
      <c r="CV22" s="332">
        <v>0</v>
      </c>
      <c r="CW22" s="281">
        <v>8</v>
      </c>
      <c r="CX22" s="281">
        <v>343026.79999999993</v>
      </c>
      <c r="DA22" s="63"/>
      <c r="DB22" s="19"/>
      <c r="DC22" s="19"/>
      <c r="DD22" s="19"/>
      <c r="DE22" s="19"/>
      <c r="DF22" s="19"/>
      <c r="DG22" s="19"/>
      <c r="DH22" s="19"/>
    </row>
    <row r="23" spans="1:112" ht="17.5" x14ac:dyDescent="0.45">
      <c r="A23" s="269" t="s">
        <v>58</v>
      </c>
      <c r="B23" s="330">
        <v>0</v>
      </c>
      <c r="C23" s="281">
        <v>74</v>
      </c>
      <c r="D23" s="281">
        <v>1108</v>
      </c>
      <c r="E23" s="281">
        <v>24</v>
      </c>
      <c r="F23" s="281">
        <v>2329</v>
      </c>
      <c r="G23" s="281">
        <v>231.94285714285715</v>
      </c>
      <c r="H23" s="281">
        <v>421</v>
      </c>
      <c r="I23" s="281">
        <v>200</v>
      </c>
      <c r="J23" s="281">
        <v>100</v>
      </c>
      <c r="K23" s="281">
        <v>818</v>
      </c>
      <c r="L23" s="281">
        <v>117</v>
      </c>
      <c r="M23" s="330">
        <v>0</v>
      </c>
      <c r="N23" s="281">
        <v>672</v>
      </c>
      <c r="O23" s="281">
        <v>92</v>
      </c>
      <c r="P23" s="281">
        <v>111</v>
      </c>
      <c r="Q23" s="330">
        <v>0</v>
      </c>
      <c r="R23" s="281">
        <v>10</v>
      </c>
      <c r="S23" s="330">
        <v>0</v>
      </c>
      <c r="T23" s="330">
        <v>0</v>
      </c>
      <c r="U23" s="330">
        <v>0</v>
      </c>
      <c r="V23" s="281">
        <v>634</v>
      </c>
      <c r="W23" s="330">
        <v>0</v>
      </c>
      <c r="X23" s="281">
        <v>40</v>
      </c>
      <c r="Y23" s="281">
        <v>9245</v>
      </c>
      <c r="Z23" s="281">
        <v>20</v>
      </c>
      <c r="AA23" s="281">
        <v>50</v>
      </c>
      <c r="AB23" s="281">
        <v>87</v>
      </c>
      <c r="AC23" s="281">
        <v>678</v>
      </c>
      <c r="AD23" s="281">
        <v>111552</v>
      </c>
      <c r="AE23" s="281">
        <v>58</v>
      </c>
      <c r="AF23" s="281">
        <v>913</v>
      </c>
      <c r="AG23" s="281">
        <v>28</v>
      </c>
      <c r="AH23" s="288">
        <v>14.057142857142857</v>
      </c>
      <c r="AI23" s="287">
        <v>0</v>
      </c>
      <c r="AJ23" s="281">
        <v>94</v>
      </c>
      <c r="AK23" s="281">
        <v>1250</v>
      </c>
      <c r="AL23" s="281">
        <v>346</v>
      </c>
      <c r="AM23" s="281">
        <v>39</v>
      </c>
      <c r="AN23" s="281">
        <v>184</v>
      </c>
      <c r="AO23" s="281">
        <v>6</v>
      </c>
      <c r="AP23" s="281">
        <v>7</v>
      </c>
      <c r="AQ23" s="283">
        <v>0</v>
      </c>
      <c r="AR23" s="281">
        <v>960</v>
      </c>
      <c r="AS23" s="281">
        <v>20</v>
      </c>
      <c r="AT23" s="281">
        <v>429</v>
      </c>
      <c r="AU23" s="281">
        <v>23</v>
      </c>
      <c r="AV23" s="281">
        <v>104.49648711943794</v>
      </c>
      <c r="AW23" s="281">
        <v>89.50351288056207</v>
      </c>
      <c r="AX23" s="281">
        <v>29.228571428571428</v>
      </c>
      <c r="AY23" s="281">
        <v>75.116071428571431</v>
      </c>
      <c r="AZ23" s="281">
        <v>698</v>
      </c>
      <c r="BA23" s="283">
        <v>0</v>
      </c>
      <c r="BB23" s="281">
        <v>610</v>
      </c>
      <c r="BC23" s="281">
        <v>5773</v>
      </c>
      <c r="BD23" s="281">
        <v>30</v>
      </c>
      <c r="BE23" s="281">
        <v>11859</v>
      </c>
      <c r="BF23" s="283">
        <v>0</v>
      </c>
      <c r="BG23" s="302"/>
      <c r="BH23" s="283">
        <v>0</v>
      </c>
      <c r="BI23" s="281">
        <v>145</v>
      </c>
      <c r="BJ23" s="281">
        <v>6554</v>
      </c>
      <c r="BK23" s="281">
        <v>98</v>
      </c>
      <c r="BL23" s="281">
        <v>461.88392857142861</v>
      </c>
      <c r="BM23" s="281">
        <v>410</v>
      </c>
      <c r="BN23" s="281">
        <v>2050</v>
      </c>
      <c r="BO23" s="281">
        <v>1310</v>
      </c>
      <c r="BP23" s="281">
        <v>976</v>
      </c>
      <c r="BQ23" s="281">
        <v>1384</v>
      </c>
      <c r="BR23" s="281">
        <v>1246</v>
      </c>
      <c r="BS23" s="283">
        <v>0</v>
      </c>
      <c r="BT23" s="281">
        <v>2522</v>
      </c>
      <c r="BU23" s="281">
        <v>11753</v>
      </c>
      <c r="BV23" s="281">
        <v>4830</v>
      </c>
      <c r="BW23" s="281">
        <v>310</v>
      </c>
      <c r="BX23" s="281">
        <v>29851</v>
      </c>
      <c r="BY23" s="283">
        <v>0</v>
      </c>
      <c r="BZ23" s="281">
        <v>14305</v>
      </c>
      <c r="CA23" s="281">
        <v>40.743749999999999</v>
      </c>
      <c r="CB23" s="281">
        <v>205.25624999999999</v>
      </c>
      <c r="CC23" s="281">
        <v>966</v>
      </c>
      <c r="CD23" s="281">
        <v>1000</v>
      </c>
      <c r="CE23" s="281">
        <v>364</v>
      </c>
      <c r="CF23" s="281">
        <v>4</v>
      </c>
      <c r="CG23" s="281">
        <v>1390</v>
      </c>
      <c r="CH23" s="281">
        <v>37</v>
      </c>
      <c r="CI23" s="281">
        <v>92595</v>
      </c>
      <c r="CJ23" s="281">
        <v>242</v>
      </c>
      <c r="CK23" s="281">
        <v>11012</v>
      </c>
      <c r="CL23" s="281">
        <v>297</v>
      </c>
      <c r="CM23" s="281">
        <v>831</v>
      </c>
      <c r="CN23" s="281">
        <v>1670</v>
      </c>
      <c r="CO23" s="283">
        <v>0</v>
      </c>
      <c r="CP23" s="281"/>
      <c r="CQ23" s="281">
        <v>538</v>
      </c>
      <c r="CR23" s="281">
        <v>212</v>
      </c>
      <c r="CS23" s="281">
        <v>195</v>
      </c>
      <c r="CT23" s="281">
        <v>311.77142857142854</v>
      </c>
      <c r="CU23" s="283">
        <v>0</v>
      </c>
      <c r="CV23" s="283">
        <v>0</v>
      </c>
      <c r="CW23" s="281">
        <v>8</v>
      </c>
      <c r="CX23" s="281">
        <v>342378</v>
      </c>
      <c r="DA23" s="63"/>
      <c r="DB23" s="19"/>
      <c r="DC23" s="19"/>
      <c r="DD23" s="19"/>
      <c r="DE23" s="19"/>
      <c r="DF23" s="19"/>
      <c r="DG23" s="19"/>
      <c r="DH23" s="19"/>
    </row>
    <row r="24" spans="1:112" ht="17.5" x14ac:dyDescent="0.45">
      <c r="A24" s="269" t="s">
        <v>59</v>
      </c>
      <c r="B24" s="330">
        <v>0</v>
      </c>
      <c r="C24" s="281">
        <v>76</v>
      </c>
      <c r="D24" s="281">
        <v>1703</v>
      </c>
      <c r="E24" s="281">
        <v>24</v>
      </c>
      <c r="F24" s="281">
        <v>2920</v>
      </c>
      <c r="G24" s="281">
        <v>233.82857142857142</v>
      </c>
      <c r="H24" s="281">
        <v>256</v>
      </c>
      <c r="I24" s="281">
        <v>200</v>
      </c>
      <c r="J24" s="281">
        <v>100</v>
      </c>
      <c r="K24" s="281">
        <v>1104</v>
      </c>
      <c r="L24" s="330">
        <v>0</v>
      </c>
      <c r="M24" s="330">
        <v>0</v>
      </c>
      <c r="N24" s="281">
        <v>672</v>
      </c>
      <c r="O24" s="330">
        <v>0</v>
      </c>
      <c r="P24" s="281">
        <v>61</v>
      </c>
      <c r="Q24" s="330">
        <v>0</v>
      </c>
      <c r="R24" s="281">
        <v>77</v>
      </c>
      <c r="S24" s="330">
        <v>0</v>
      </c>
      <c r="T24" s="330">
        <v>0</v>
      </c>
      <c r="U24" s="330">
        <v>0</v>
      </c>
      <c r="V24" s="281">
        <v>634</v>
      </c>
      <c r="W24" s="281">
        <v>276</v>
      </c>
      <c r="X24" s="281">
        <v>40</v>
      </c>
      <c r="Y24" s="281">
        <v>9081</v>
      </c>
      <c r="Z24" s="281">
        <v>20</v>
      </c>
      <c r="AA24" s="281">
        <v>50</v>
      </c>
      <c r="AB24" s="281">
        <v>90</v>
      </c>
      <c r="AC24" s="281">
        <v>500</v>
      </c>
      <c r="AD24" s="281">
        <v>125889</v>
      </c>
      <c r="AE24" s="281">
        <v>396</v>
      </c>
      <c r="AF24" s="281">
        <v>1220</v>
      </c>
      <c r="AG24" s="281">
        <v>28</v>
      </c>
      <c r="AH24" s="288">
        <v>14.171428571428571</v>
      </c>
      <c r="AI24" s="287">
        <v>0</v>
      </c>
      <c r="AJ24" s="281">
        <v>16</v>
      </c>
      <c r="AK24" s="281">
        <v>1661</v>
      </c>
      <c r="AL24" s="283">
        <v>0</v>
      </c>
      <c r="AM24" s="281">
        <v>39</v>
      </c>
      <c r="AN24" s="281">
        <v>442</v>
      </c>
      <c r="AO24" s="281">
        <v>6</v>
      </c>
      <c r="AP24" s="281">
        <v>8</v>
      </c>
      <c r="AQ24" s="283">
        <v>0</v>
      </c>
      <c r="AR24" s="281">
        <v>960</v>
      </c>
      <c r="AS24" s="281">
        <v>20</v>
      </c>
      <c r="AT24" s="281">
        <v>137</v>
      </c>
      <c r="AU24" s="281">
        <v>21</v>
      </c>
      <c r="AV24" s="281">
        <v>143.27868852459017</v>
      </c>
      <c r="AW24" s="281">
        <v>122.72131147540983</v>
      </c>
      <c r="AX24" s="281">
        <v>13.714285714285714</v>
      </c>
      <c r="AY24" s="281">
        <v>88.264880952380949</v>
      </c>
      <c r="AZ24" s="281">
        <v>700</v>
      </c>
      <c r="BA24" s="281">
        <v>668</v>
      </c>
      <c r="BB24" s="281">
        <v>697</v>
      </c>
      <c r="BC24" s="281">
        <v>5447</v>
      </c>
      <c r="BD24" s="281">
        <v>30</v>
      </c>
      <c r="BE24" s="281">
        <v>15002</v>
      </c>
      <c r="BF24" s="283">
        <v>0</v>
      </c>
      <c r="BG24" s="302"/>
      <c r="BH24" s="283">
        <v>0</v>
      </c>
      <c r="BI24" s="281">
        <v>177</v>
      </c>
      <c r="BJ24" s="281">
        <v>26347</v>
      </c>
      <c r="BK24" s="281">
        <v>98</v>
      </c>
      <c r="BL24" s="281">
        <v>542.73511904761904</v>
      </c>
      <c r="BM24" s="283">
        <v>0</v>
      </c>
      <c r="BN24" s="281">
        <v>2475</v>
      </c>
      <c r="BO24" s="281">
        <v>1310</v>
      </c>
      <c r="BP24" s="281">
        <v>976</v>
      </c>
      <c r="BQ24" s="281">
        <v>3195</v>
      </c>
      <c r="BR24" s="281">
        <v>2915</v>
      </c>
      <c r="BS24" s="283">
        <v>0</v>
      </c>
      <c r="BT24" s="281">
        <v>2931</v>
      </c>
      <c r="BU24" s="281">
        <v>17272</v>
      </c>
      <c r="BV24" s="281">
        <v>5492</v>
      </c>
      <c r="BW24" s="281">
        <v>310</v>
      </c>
      <c r="BX24" s="281">
        <v>35497</v>
      </c>
      <c r="BY24" s="283">
        <v>0</v>
      </c>
      <c r="BZ24" s="281">
        <v>20522</v>
      </c>
      <c r="CA24" s="283">
        <v>0</v>
      </c>
      <c r="CB24" s="283">
        <v>0</v>
      </c>
      <c r="CC24" s="281">
        <v>716</v>
      </c>
      <c r="CD24" s="281">
        <v>500</v>
      </c>
      <c r="CE24" s="281">
        <v>307</v>
      </c>
      <c r="CF24" s="283">
        <v>0</v>
      </c>
      <c r="CG24" s="281">
        <v>30</v>
      </c>
      <c r="CH24" s="281">
        <v>37</v>
      </c>
      <c r="CI24" s="281">
        <v>104259</v>
      </c>
      <c r="CJ24" s="287">
        <v>0</v>
      </c>
      <c r="CK24" s="281">
        <v>11226</v>
      </c>
      <c r="CL24" s="281">
        <v>101</v>
      </c>
      <c r="CM24" s="281">
        <v>1000</v>
      </c>
      <c r="CN24" s="281">
        <v>2347</v>
      </c>
      <c r="CO24" s="281">
        <v>252</v>
      </c>
      <c r="CP24" s="281"/>
      <c r="CQ24" s="281">
        <v>538</v>
      </c>
      <c r="CR24" s="281">
        <v>212</v>
      </c>
      <c r="CS24" s="281">
        <v>11</v>
      </c>
      <c r="CT24" s="281">
        <v>146.28571428571428</v>
      </c>
      <c r="CU24" s="283">
        <v>0</v>
      </c>
      <c r="CV24" s="283">
        <v>0</v>
      </c>
      <c r="CW24" s="283">
        <v>0</v>
      </c>
      <c r="CX24" s="281">
        <v>413629.00000000006</v>
      </c>
      <c r="DA24" s="63"/>
      <c r="DB24" s="19"/>
      <c r="DC24" s="19"/>
      <c r="DD24" s="19"/>
      <c r="DE24" s="19"/>
      <c r="DF24" s="19"/>
      <c r="DG24" s="19"/>
      <c r="DH24" s="19"/>
    </row>
    <row r="25" spans="1:112" ht="17.5" x14ac:dyDescent="0.45">
      <c r="A25" s="269" t="s">
        <v>111</v>
      </c>
      <c r="B25" s="330">
        <v>0</v>
      </c>
      <c r="C25" s="281">
        <v>75</v>
      </c>
      <c r="D25" s="281">
        <v>2208</v>
      </c>
      <c r="E25" s="287">
        <v>0</v>
      </c>
      <c r="F25" s="281">
        <v>2413</v>
      </c>
      <c r="G25" s="281">
        <v>264</v>
      </c>
      <c r="H25" s="281">
        <v>419</v>
      </c>
      <c r="I25" s="281">
        <v>200</v>
      </c>
      <c r="J25" s="281">
        <v>100</v>
      </c>
      <c r="K25" s="281">
        <v>640</v>
      </c>
      <c r="L25" s="281">
        <v>120</v>
      </c>
      <c r="M25" s="330">
        <v>0</v>
      </c>
      <c r="N25" s="281">
        <v>672</v>
      </c>
      <c r="O25" s="281">
        <v>18</v>
      </c>
      <c r="P25" s="281">
        <v>61</v>
      </c>
      <c r="Q25" s="330">
        <v>0</v>
      </c>
      <c r="R25" s="281">
        <v>90</v>
      </c>
      <c r="S25" s="330">
        <v>0</v>
      </c>
      <c r="T25" s="330">
        <v>0</v>
      </c>
      <c r="U25" s="281">
        <v>113</v>
      </c>
      <c r="V25" s="281">
        <v>430</v>
      </c>
      <c r="W25" s="281">
        <v>147</v>
      </c>
      <c r="X25" s="281">
        <v>40</v>
      </c>
      <c r="Y25" s="281">
        <v>11679</v>
      </c>
      <c r="Z25" s="281">
        <v>20</v>
      </c>
      <c r="AA25" s="281">
        <v>50</v>
      </c>
      <c r="AB25" s="281">
        <v>90</v>
      </c>
      <c r="AC25" s="281">
        <v>675</v>
      </c>
      <c r="AD25" s="281">
        <v>126340</v>
      </c>
      <c r="AE25" s="281">
        <v>170</v>
      </c>
      <c r="AF25" s="281">
        <v>1172</v>
      </c>
      <c r="AG25" s="281">
        <v>28</v>
      </c>
      <c r="AH25" s="288">
        <v>16</v>
      </c>
      <c r="AI25" s="287">
        <v>0</v>
      </c>
      <c r="AJ25" s="281">
        <v>94</v>
      </c>
      <c r="AK25" s="281">
        <v>1204</v>
      </c>
      <c r="AL25" s="283">
        <v>0</v>
      </c>
      <c r="AM25" s="281">
        <v>39</v>
      </c>
      <c r="AN25" s="281">
        <v>224</v>
      </c>
      <c r="AO25" s="281">
        <v>6</v>
      </c>
      <c r="AP25" s="281">
        <v>6</v>
      </c>
      <c r="AQ25" s="283">
        <v>0</v>
      </c>
      <c r="AR25" s="281">
        <v>1498</v>
      </c>
      <c r="AS25" s="281">
        <v>20</v>
      </c>
      <c r="AT25" s="281">
        <v>330</v>
      </c>
      <c r="AU25" s="281">
        <v>2</v>
      </c>
      <c r="AV25" s="281">
        <v>86.182669789227177</v>
      </c>
      <c r="AW25" s="281">
        <v>73.817330210772838</v>
      </c>
      <c r="AX25" s="281">
        <v>17.571428571428573</v>
      </c>
      <c r="AY25" s="281">
        <v>-242</v>
      </c>
      <c r="AZ25" s="281">
        <v>1116</v>
      </c>
      <c r="BA25" s="283">
        <v>0</v>
      </c>
      <c r="BB25" s="281">
        <v>597</v>
      </c>
      <c r="BC25" s="281">
        <v>7415</v>
      </c>
      <c r="BD25" s="281">
        <v>30</v>
      </c>
      <c r="BE25" s="281">
        <v>12137</v>
      </c>
      <c r="BF25" s="283">
        <v>0</v>
      </c>
      <c r="BG25" s="302"/>
      <c r="BH25" s="283">
        <v>0</v>
      </c>
      <c r="BI25" s="281">
        <v>86</v>
      </c>
      <c r="BJ25" s="281">
        <v>35447</v>
      </c>
      <c r="BK25" s="281">
        <v>98</v>
      </c>
      <c r="BL25" s="281">
        <v>35</v>
      </c>
      <c r="BM25" s="281">
        <v>410</v>
      </c>
      <c r="BN25" s="281">
        <v>1784</v>
      </c>
      <c r="BO25" s="281">
        <v>1310</v>
      </c>
      <c r="BP25" s="281">
        <v>976</v>
      </c>
      <c r="BQ25" s="281">
        <v>847</v>
      </c>
      <c r="BR25" s="281">
        <v>2590</v>
      </c>
      <c r="BS25" s="283">
        <v>0</v>
      </c>
      <c r="BT25" s="281">
        <v>3798</v>
      </c>
      <c r="BU25" s="281">
        <v>21168</v>
      </c>
      <c r="BV25" s="281">
        <v>5556</v>
      </c>
      <c r="BW25" s="281">
        <v>310</v>
      </c>
      <c r="BX25" s="281">
        <v>49569</v>
      </c>
      <c r="BY25" s="283">
        <v>0</v>
      </c>
      <c r="BZ25" s="281">
        <v>16166</v>
      </c>
      <c r="CA25" s="281">
        <v>2.484375</v>
      </c>
      <c r="CB25" s="281">
        <v>12.515625</v>
      </c>
      <c r="CC25" s="281">
        <v>966</v>
      </c>
      <c r="CD25" s="283">
        <v>0</v>
      </c>
      <c r="CE25" s="281">
        <v>464</v>
      </c>
      <c r="CF25" s="283">
        <v>0</v>
      </c>
      <c r="CG25" s="281">
        <v>710</v>
      </c>
      <c r="CH25" s="281">
        <v>37</v>
      </c>
      <c r="CI25" s="281">
        <v>107131</v>
      </c>
      <c r="CJ25" s="281">
        <v>64</v>
      </c>
      <c r="CK25" s="281">
        <v>10079</v>
      </c>
      <c r="CL25" s="281">
        <v>200</v>
      </c>
      <c r="CM25" s="281">
        <v>1000</v>
      </c>
      <c r="CN25" s="281">
        <v>2326</v>
      </c>
      <c r="CO25" s="281">
        <v>275</v>
      </c>
      <c r="CP25" s="281"/>
      <c r="CQ25" s="281">
        <v>538</v>
      </c>
      <c r="CR25" s="281">
        <v>212</v>
      </c>
      <c r="CS25" s="281">
        <v>60</v>
      </c>
      <c r="CT25" s="281">
        <v>187.42857142857142</v>
      </c>
      <c r="CU25" s="283">
        <v>0</v>
      </c>
      <c r="CV25" s="283">
        <v>0</v>
      </c>
      <c r="CW25" s="281">
        <v>8</v>
      </c>
      <c r="CX25" s="281">
        <v>437326</v>
      </c>
      <c r="DA25" s="63"/>
      <c r="DB25" s="19"/>
      <c r="DC25" s="19"/>
      <c r="DD25" s="19"/>
      <c r="DE25" s="19"/>
      <c r="DF25" s="19"/>
      <c r="DG25" s="19"/>
      <c r="DH25" s="19"/>
    </row>
    <row r="26" spans="1:112" ht="17.5" x14ac:dyDescent="0.45">
      <c r="A26" s="269" t="s">
        <v>60</v>
      </c>
      <c r="B26" s="330">
        <v>0</v>
      </c>
      <c r="C26" s="281">
        <v>75</v>
      </c>
      <c r="D26" s="281">
        <v>1329</v>
      </c>
      <c r="E26" s="281">
        <v>24</v>
      </c>
      <c r="F26" s="281">
        <v>2259</v>
      </c>
      <c r="G26" s="281">
        <v>233.82857142857142</v>
      </c>
      <c r="H26" s="281">
        <v>427</v>
      </c>
      <c r="I26" s="281">
        <v>200</v>
      </c>
      <c r="J26" s="281">
        <v>100</v>
      </c>
      <c r="K26" s="281">
        <v>672</v>
      </c>
      <c r="L26" s="281">
        <v>117</v>
      </c>
      <c r="M26" s="330">
        <v>0</v>
      </c>
      <c r="N26" s="281">
        <v>672</v>
      </c>
      <c r="O26" s="330">
        <v>0</v>
      </c>
      <c r="P26" s="281">
        <v>61</v>
      </c>
      <c r="Q26" s="330">
        <v>0</v>
      </c>
      <c r="R26" s="281">
        <v>42</v>
      </c>
      <c r="S26" s="330">
        <v>0</v>
      </c>
      <c r="T26" s="330">
        <v>0</v>
      </c>
      <c r="U26" s="330">
        <v>0</v>
      </c>
      <c r="V26" s="281">
        <v>466</v>
      </c>
      <c r="W26" s="281">
        <v>131</v>
      </c>
      <c r="X26" s="281">
        <v>40</v>
      </c>
      <c r="Y26" s="281">
        <v>11438</v>
      </c>
      <c r="Z26" s="281">
        <v>20</v>
      </c>
      <c r="AA26" s="281">
        <v>50</v>
      </c>
      <c r="AB26" s="281">
        <v>77</v>
      </c>
      <c r="AC26" s="281">
        <v>575</v>
      </c>
      <c r="AD26" s="281">
        <v>99826</v>
      </c>
      <c r="AE26" s="281">
        <v>324</v>
      </c>
      <c r="AF26" s="281">
        <v>635</v>
      </c>
      <c r="AG26" s="281">
        <v>28</v>
      </c>
      <c r="AH26" s="288">
        <v>14.171428571428571</v>
      </c>
      <c r="AI26" s="287">
        <v>0</v>
      </c>
      <c r="AJ26" s="281">
        <v>94</v>
      </c>
      <c r="AK26" s="281">
        <v>1450</v>
      </c>
      <c r="AL26" s="283">
        <v>0</v>
      </c>
      <c r="AM26" s="281">
        <v>39</v>
      </c>
      <c r="AN26" s="281">
        <v>402</v>
      </c>
      <c r="AO26" s="283">
        <v>0</v>
      </c>
      <c r="AP26" s="281">
        <v>2</v>
      </c>
      <c r="AQ26" s="283">
        <v>0</v>
      </c>
      <c r="AR26" s="281">
        <v>452</v>
      </c>
      <c r="AS26" s="281">
        <v>20</v>
      </c>
      <c r="AT26" s="281">
        <v>270</v>
      </c>
      <c r="AU26" s="281">
        <v>19</v>
      </c>
      <c r="AV26" s="281">
        <v>95.339578454332553</v>
      </c>
      <c r="AW26" s="281">
        <v>81.660421545667447</v>
      </c>
      <c r="AX26" s="281">
        <v>30</v>
      </c>
      <c r="AY26" s="281">
        <v>84</v>
      </c>
      <c r="AZ26" s="281">
        <v>853</v>
      </c>
      <c r="BA26" s="281">
        <v>638</v>
      </c>
      <c r="BB26" s="281">
        <v>539</v>
      </c>
      <c r="BC26" s="281">
        <v>5525</v>
      </c>
      <c r="BD26" s="281">
        <v>30</v>
      </c>
      <c r="BE26" s="281">
        <v>13155</v>
      </c>
      <c r="BF26" s="283">
        <v>0</v>
      </c>
      <c r="BG26" s="302"/>
      <c r="BH26" s="283">
        <v>0</v>
      </c>
      <c r="BI26" s="281">
        <v>196</v>
      </c>
      <c r="BJ26" s="281">
        <v>7385</v>
      </c>
      <c r="BK26" s="283">
        <v>0</v>
      </c>
      <c r="BL26" s="281">
        <v>532</v>
      </c>
      <c r="BM26" s="281">
        <v>410</v>
      </c>
      <c r="BN26" s="281">
        <v>2024</v>
      </c>
      <c r="BO26" s="281">
        <v>1310</v>
      </c>
      <c r="BP26" s="281">
        <v>996</v>
      </c>
      <c r="BQ26" s="281">
        <v>2832</v>
      </c>
      <c r="BR26" s="281">
        <v>1410</v>
      </c>
      <c r="BS26" s="283">
        <v>0</v>
      </c>
      <c r="BT26" s="281">
        <v>2610</v>
      </c>
      <c r="BU26" s="281">
        <v>11008</v>
      </c>
      <c r="BV26" s="281">
        <v>4130</v>
      </c>
      <c r="BW26" s="281">
        <v>310</v>
      </c>
      <c r="BX26" s="281">
        <v>16711</v>
      </c>
      <c r="BY26" s="283">
        <v>0</v>
      </c>
      <c r="BZ26" s="281">
        <v>13555</v>
      </c>
      <c r="CA26" s="281">
        <v>2.484375</v>
      </c>
      <c r="CB26" s="281">
        <v>12.515625</v>
      </c>
      <c r="CC26" s="281">
        <v>716</v>
      </c>
      <c r="CD26" s="281">
        <v>924</v>
      </c>
      <c r="CE26" s="281">
        <v>153</v>
      </c>
      <c r="CF26" s="283">
        <v>0</v>
      </c>
      <c r="CG26" s="281">
        <v>710</v>
      </c>
      <c r="CH26" s="281">
        <v>0</v>
      </c>
      <c r="CI26" s="281">
        <v>102464</v>
      </c>
      <c r="CJ26" s="281">
        <v>79</v>
      </c>
      <c r="CK26" s="281">
        <v>8404</v>
      </c>
      <c r="CL26" s="281">
        <v>200</v>
      </c>
      <c r="CM26" s="281">
        <v>1000</v>
      </c>
      <c r="CN26" s="281">
        <v>2202</v>
      </c>
      <c r="CO26" s="281">
        <v>275</v>
      </c>
      <c r="CP26" s="281"/>
      <c r="CQ26" s="281">
        <v>538</v>
      </c>
      <c r="CR26" s="281">
        <v>212</v>
      </c>
      <c r="CS26" s="281">
        <v>165</v>
      </c>
      <c r="CT26" s="281">
        <v>320</v>
      </c>
      <c r="CU26" s="283">
        <v>0</v>
      </c>
      <c r="CV26" s="283">
        <v>0</v>
      </c>
      <c r="CW26" s="283">
        <v>0</v>
      </c>
      <c r="CX26" s="281">
        <v>327411</v>
      </c>
      <c r="DA26" s="63"/>
      <c r="DB26" s="19"/>
      <c r="DC26" s="19"/>
      <c r="DD26" s="19"/>
      <c r="DE26" s="19"/>
      <c r="DF26" s="19"/>
      <c r="DG26" s="19"/>
      <c r="DH26" s="19"/>
    </row>
    <row r="27" spans="1:112" ht="17.5" x14ac:dyDescent="0.45">
      <c r="A27" s="270" t="s">
        <v>61</v>
      </c>
      <c r="B27" s="330">
        <v>0</v>
      </c>
      <c r="C27" s="281">
        <v>75</v>
      </c>
      <c r="D27" s="281">
        <v>2380</v>
      </c>
      <c r="E27" s="287">
        <v>0</v>
      </c>
      <c r="F27" s="281">
        <v>4102</v>
      </c>
      <c r="G27" s="281">
        <v>233.82857142857142</v>
      </c>
      <c r="H27" s="281">
        <v>419</v>
      </c>
      <c r="I27" s="281">
        <v>200</v>
      </c>
      <c r="J27" s="281">
        <v>100</v>
      </c>
      <c r="K27" s="330">
        <v>0</v>
      </c>
      <c r="L27" s="281">
        <v>117</v>
      </c>
      <c r="M27" s="330">
        <v>0</v>
      </c>
      <c r="N27" s="281">
        <v>672</v>
      </c>
      <c r="O27" s="330">
        <v>0</v>
      </c>
      <c r="P27" s="281">
        <v>181</v>
      </c>
      <c r="Q27" s="330">
        <v>0</v>
      </c>
      <c r="R27" s="281">
        <v>42</v>
      </c>
      <c r="S27" s="330">
        <v>0</v>
      </c>
      <c r="T27" s="330">
        <v>0</v>
      </c>
      <c r="U27" s="330">
        <v>0</v>
      </c>
      <c r="V27" s="281">
        <v>420</v>
      </c>
      <c r="W27" s="330">
        <v>0</v>
      </c>
      <c r="X27" s="281">
        <v>40</v>
      </c>
      <c r="Y27" s="281">
        <v>8438</v>
      </c>
      <c r="Z27" s="281">
        <v>20</v>
      </c>
      <c r="AA27" s="281">
        <v>50</v>
      </c>
      <c r="AB27" s="281">
        <v>77</v>
      </c>
      <c r="AC27" s="281">
        <v>760</v>
      </c>
      <c r="AD27" s="281">
        <v>112536</v>
      </c>
      <c r="AE27" s="281">
        <v>210</v>
      </c>
      <c r="AF27" s="281">
        <v>1650</v>
      </c>
      <c r="AG27" s="281">
        <v>28</v>
      </c>
      <c r="AH27" s="288">
        <v>14.171428571428571</v>
      </c>
      <c r="AI27" s="281">
        <v>158</v>
      </c>
      <c r="AJ27" s="281">
        <v>78</v>
      </c>
      <c r="AK27" s="281">
        <v>1934</v>
      </c>
      <c r="AL27" s="283">
        <v>0</v>
      </c>
      <c r="AM27" s="283">
        <v>0</v>
      </c>
      <c r="AN27" s="281">
        <v>222</v>
      </c>
      <c r="AO27" s="283">
        <v>0</v>
      </c>
      <c r="AP27" s="283">
        <v>0</v>
      </c>
      <c r="AQ27" s="283">
        <v>0</v>
      </c>
      <c r="AR27" s="281">
        <v>1890</v>
      </c>
      <c r="AS27" s="281">
        <v>40</v>
      </c>
      <c r="AT27" s="281">
        <v>508</v>
      </c>
      <c r="AU27" s="281">
        <v>19</v>
      </c>
      <c r="AV27" s="281">
        <v>88.337236533957849</v>
      </c>
      <c r="AW27" s="281">
        <v>75.662763466042151</v>
      </c>
      <c r="AX27" s="281">
        <v>5.4</v>
      </c>
      <c r="AY27" s="281">
        <v>10</v>
      </c>
      <c r="AZ27" s="281">
        <v>569</v>
      </c>
      <c r="BA27" s="281">
        <v>440</v>
      </c>
      <c r="BB27" s="281">
        <v>607</v>
      </c>
      <c r="BC27" s="281">
        <v>6479</v>
      </c>
      <c r="BD27" s="281">
        <v>30</v>
      </c>
      <c r="BE27" s="281">
        <v>13369</v>
      </c>
      <c r="BF27" s="283">
        <v>0</v>
      </c>
      <c r="BG27" s="302"/>
      <c r="BH27" s="283">
        <v>0</v>
      </c>
      <c r="BI27" s="281">
        <v>145</v>
      </c>
      <c r="BJ27" s="281">
        <v>16884</v>
      </c>
      <c r="BK27" s="281">
        <v>98</v>
      </c>
      <c r="BL27" s="281">
        <v>335</v>
      </c>
      <c r="BM27" s="281">
        <v>410</v>
      </c>
      <c r="BN27" s="281">
        <v>1727</v>
      </c>
      <c r="BO27" s="281">
        <v>1310</v>
      </c>
      <c r="BP27" s="281">
        <v>1932</v>
      </c>
      <c r="BQ27" s="281">
        <v>683</v>
      </c>
      <c r="BR27" s="281">
        <v>2000</v>
      </c>
      <c r="BS27" s="283">
        <v>0</v>
      </c>
      <c r="BT27" s="281">
        <v>725</v>
      </c>
      <c r="BU27" s="281">
        <v>14313</v>
      </c>
      <c r="BV27" s="281">
        <v>3250</v>
      </c>
      <c r="BW27" s="281">
        <v>310</v>
      </c>
      <c r="BX27" s="281">
        <v>39827</v>
      </c>
      <c r="BY27" s="283">
        <v>0</v>
      </c>
      <c r="BZ27" s="281">
        <v>21414</v>
      </c>
      <c r="CA27" s="281">
        <v>2.484375</v>
      </c>
      <c r="CB27" s="281">
        <v>12.515625</v>
      </c>
      <c r="CC27" s="281">
        <v>977</v>
      </c>
      <c r="CD27" s="281">
        <v>76</v>
      </c>
      <c r="CE27" s="281">
        <v>212</v>
      </c>
      <c r="CF27" s="281">
        <v>5</v>
      </c>
      <c r="CG27" s="281">
        <v>1093</v>
      </c>
      <c r="CH27" s="281">
        <v>37</v>
      </c>
      <c r="CI27" s="281">
        <v>32945</v>
      </c>
      <c r="CJ27" s="281">
        <v>325</v>
      </c>
      <c r="CK27" s="281">
        <v>9388</v>
      </c>
      <c r="CL27" s="281">
        <v>333</v>
      </c>
      <c r="CM27" s="281">
        <v>1000</v>
      </c>
      <c r="CN27" s="281">
        <v>1875</v>
      </c>
      <c r="CO27" s="281">
        <v>0</v>
      </c>
      <c r="CP27" s="281"/>
      <c r="CQ27" s="281">
        <v>538</v>
      </c>
      <c r="CR27" s="281">
        <v>212</v>
      </c>
      <c r="CS27" s="281">
        <v>26</v>
      </c>
      <c r="CT27" s="281">
        <v>57.6</v>
      </c>
      <c r="CU27" s="283">
        <v>0</v>
      </c>
      <c r="CV27" s="283">
        <v>0</v>
      </c>
      <c r="CW27" s="283">
        <v>0</v>
      </c>
      <c r="CX27" s="281">
        <v>313765</v>
      </c>
      <c r="DA27" s="63"/>
      <c r="DB27" s="19"/>
      <c r="DC27" s="19"/>
      <c r="DD27" s="19"/>
      <c r="DE27" s="19"/>
      <c r="DF27" s="19"/>
      <c r="DG27" s="19"/>
      <c r="DH27" s="19"/>
    </row>
    <row r="28" spans="1:112" ht="17.5" x14ac:dyDescent="0.45">
      <c r="A28" s="270" t="s">
        <v>62</v>
      </c>
      <c r="B28" s="330">
        <v>0</v>
      </c>
      <c r="C28" s="281">
        <v>75</v>
      </c>
      <c r="D28" s="281">
        <v>266</v>
      </c>
      <c r="E28" s="281">
        <v>24</v>
      </c>
      <c r="F28" s="281">
        <v>630</v>
      </c>
      <c r="G28" s="281">
        <v>204.6</v>
      </c>
      <c r="H28" s="281">
        <v>419</v>
      </c>
      <c r="I28" s="281">
        <v>200</v>
      </c>
      <c r="J28" s="281">
        <v>100</v>
      </c>
      <c r="K28" s="281">
        <v>892</v>
      </c>
      <c r="L28" s="330">
        <v>0</v>
      </c>
      <c r="M28" s="330">
        <v>0</v>
      </c>
      <c r="N28" s="281">
        <v>672</v>
      </c>
      <c r="O28" s="330">
        <v>0</v>
      </c>
      <c r="P28" s="281">
        <v>47</v>
      </c>
      <c r="Q28" s="330">
        <v>0</v>
      </c>
      <c r="R28" s="281">
        <v>46</v>
      </c>
      <c r="S28" s="330">
        <v>0</v>
      </c>
      <c r="T28" s="330">
        <v>0</v>
      </c>
      <c r="U28" s="330">
        <v>0</v>
      </c>
      <c r="V28" s="281">
        <v>611</v>
      </c>
      <c r="W28" s="281">
        <v>262</v>
      </c>
      <c r="X28" s="281">
        <v>40</v>
      </c>
      <c r="Y28" s="281">
        <v>9640</v>
      </c>
      <c r="Z28" s="281">
        <v>20</v>
      </c>
      <c r="AA28" s="281">
        <v>50</v>
      </c>
      <c r="AB28" s="281">
        <v>0</v>
      </c>
      <c r="AC28" s="281">
        <v>760</v>
      </c>
      <c r="AD28" s="281">
        <v>90207</v>
      </c>
      <c r="AE28" s="281">
        <v>210</v>
      </c>
      <c r="AF28" s="281">
        <v>1378</v>
      </c>
      <c r="AG28" s="281">
        <v>28</v>
      </c>
      <c r="AH28" s="288">
        <v>12.4</v>
      </c>
      <c r="AI28" s="287">
        <v>0</v>
      </c>
      <c r="AJ28" s="281">
        <v>78</v>
      </c>
      <c r="AK28" s="281">
        <v>1009</v>
      </c>
      <c r="AL28" s="283">
        <v>0</v>
      </c>
      <c r="AM28" s="281">
        <v>40</v>
      </c>
      <c r="AN28" s="281">
        <v>458</v>
      </c>
      <c r="AO28" s="283">
        <v>0</v>
      </c>
      <c r="AP28" s="281">
        <v>1</v>
      </c>
      <c r="AQ28" s="283">
        <v>0</v>
      </c>
      <c r="AR28" s="283">
        <v>0</v>
      </c>
      <c r="AS28" s="281">
        <v>40</v>
      </c>
      <c r="AT28" s="281">
        <v>257</v>
      </c>
      <c r="AU28" s="281">
        <v>19</v>
      </c>
      <c r="AV28" s="281">
        <v>95.339578454332553</v>
      </c>
      <c r="AW28" s="281">
        <v>81.660421545667447</v>
      </c>
      <c r="AX28" s="281">
        <v>11.571428571428571</v>
      </c>
      <c r="AY28" s="281">
        <v>47</v>
      </c>
      <c r="AZ28" s="281">
        <v>262</v>
      </c>
      <c r="BA28" s="281">
        <v>440</v>
      </c>
      <c r="BB28" s="281">
        <v>612</v>
      </c>
      <c r="BC28" s="281">
        <v>1361</v>
      </c>
      <c r="BD28" s="281">
        <v>30</v>
      </c>
      <c r="BE28" s="281">
        <v>8915</v>
      </c>
      <c r="BF28" s="283">
        <v>0</v>
      </c>
      <c r="BG28" s="302"/>
      <c r="BH28" s="283">
        <v>0</v>
      </c>
      <c r="BI28" s="281">
        <v>145</v>
      </c>
      <c r="BJ28" s="281">
        <v>29634</v>
      </c>
      <c r="BK28" s="283">
        <v>0</v>
      </c>
      <c r="BL28" s="281">
        <v>109</v>
      </c>
      <c r="BM28" s="281">
        <v>410</v>
      </c>
      <c r="BN28" s="281">
        <v>2140</v>
      </c>
      <c r="BO28" s="281">
        <v>1310</v>
      </c>
      <c r="BP28" s="281">
        <v>10</v>
      </c>
      <c r="BQ28" s="281">
        <v>2051</v>
      </c>
      <c r="BR28" s="281">
        <v>2000</v>
      </c>
      <c r="BS28" s="283">
        <v>0</v>
      </c>
      <c r="BT28" s="281">
        <v>2375</v>
      </c>
      <c r="BU28" s="281">
        <v>17481</v>
      </c>
      <c r="BV28" s="281">
        <v>2752</v>
      </c>
      <c r="BW28" s="281">
        <v>310</v>
      </c>
      <c r="BX28" s="281">
        <v>21244</v>
      </c>
      <c r="BY28" s="283">
        <v>0</v>
      </c>
      <c r="BZ28" s="281">
        <v>10772</v>
      </c>
      <c r="CA28" s="281">
        <v>2.484375</v>
      </c>
      <c r="CB28" s="281">
        <v>12.515625</v>
      </c>
      <c r="CC28" s="281">
        <v>495</v>
      </c>
      <c r="CD28" s="281">
        <v>500</v>
      </c>
      <c r="CE28" s="281">
        <v>600</v>
      </c>
      <c r="CF28" s="281">
        <v>3</v>
      </c>
      <c r="CG28" s="281">
        <v>1009</v>
      </c>
      <c r="CH28" s="281">
        <v>37</v>
      </c>
      <c r="CI28" s="281">
        <v>105391</v>
      </c>
      <c r="CJ28" s="281">
        <v>325</v>
      </c>
      <c r="CK28" s="281">
        <v>10828</v>
      </c>
      <c r="CL28" s="281">
        <v>167</v>
      </c>
      <c r="CM28" s="281">
        <v>1000</v>
      </c>
      <c r="CN28" s="281">
        <v>2141</v>
      </c>
      <c r="CO28" s="281">
        <v>275</v>
      </c>
      <c r="CP28" s="281"/>
      <c r="CQ28" s="281">
        <v>538</v>
      </c>
      <c r="CR28" s="281">
        <v>212</v>
      </c>
      <c r="CS28" s="281">
        <v>135</v>
      </c>
      <c r="CT28" s="281">
        <v>123.42857142857143</v>
      </c>
      <c r="CU28" s="283">
        <v>0</v>
      </c>
      <c r="CV28" s="283">
        <v>0</v>
      </c>
      <c r="CW28" s="283">
        <v>0</v>
      </c>
      <c r="CX28" s="281">
        <v>337089</v>
      </c>
      <c r="DA28" s="63"/>
      <c r="DB28" s="19"/>
      <c r="DC28" s="19"/>
      <c r="DD28" s="19"/>
      <c r="DE28" s="19"/>
      <c r="DF28" s="19"/>
      <c r="DG28" s="19"/>
      <c r="DH28" s="19"/>
    </row>
    <row r="29" spans="1:112" ht="17.5" x14ac:dyDescent="0.45">
      <c r="A29" s="270" t="s">
        <v>63</v>
      </c>
      <c r="B29" s="330">
        <v>0</v>
      </c>
      <c r="C29" s="281">
        <v>75</v>
      </c>
      <c r="D29" s="281">
        <v>2479</v>
      </c>
      <c r="E29" s="281">
        <v>24</v>
      </c>
      <c r="F29" s="281">
        <v>2630</v>
      </c>
      <c r="G29" s="281">
        <v>233.82857142857142</v>
      </c>
      <c r="H29" s="281">
        <v>419</v>
      </c>
      <c r="I29" s="281">
        <v>200</v>
      </c>
      <c r="J29" s="281">
        <v>100</v>
      </c>
      <c r="K29" s="281">
        <v>610</v>
      </c>
      <c r="L29" s="330">
        <v>0</v>
      </c>
      <c r="M29" s="330">
        <v>0</v>
      </c>
      <c r="N29" s="281">
        <v>672</v>
      </c>
      <c r="O29" s="330">
        <v>0</v>
      </c>
      <c r="P29" s="281">
        <v>61</v>
      </c>
      <c r="Q29" s="330">
        <v>0</v>
      </c>
      <c r="R29" s="281">
        <v>46</v>
      </c>
      <c r="S29" s="330">
        <v>0</v>
      </c>
      <c r="T29" s="330">
        <v>0</v>
      </c>
      <c r="U29" s="330">
        <v>0</v>
      </c>
      <c r="V29" s="281">
        <v>656</v>
      </c>
      <c r="W29" s="281">
        <v>160</v>
      </c>
      <c r="X29" s="281">
        <v>40</v>
      </c>
      <c r="Y29" s="281">
        <v>8414</v>
      </c>
      <c r="Z29" s="281">
        <v>40</v>
      </c>
      <c r="AA29" s="281">
        <v>50</v>
      </c>
      <c r="AB29" s="281">
        <v>35</v>
      </c>
      <c r="AC29" s="281">
        <v>760</v>
      </c>
      <c r="AD29" s="281">
        <v>129764</v>
      </c>
      <c r="AE29" s="287">
        <v>0</v>
      </c>
      <c r="AF29" s="281">
        <v>426</v>
      </c>
      <c r="AG29" s="281">
        <v>30</v>
      </c>
      <c r="AH29" s="288">
        <v>14.171428571428571</v>
      </c>
      <c r="AI29" s="281">
        <v>158</v>
      </c>
      <c r="AJ29" s="281">
        <v>61</v>
      </c>
      <c r="AK29" s="281">
        <v>1197</v>
      </c>
      <c r="AL29" s="283">
        <v>0</v>
      </c>
      <c r="AM29" s="281">
        <v>33</v>
      </c>
      <c r="AN29" s="281">
        <v>224</v>
      </c>
      <c r="AO29" s="281">
        <v>3</v>
      </c>
      <c r="AP29" s="281">
        <v>15</v>
      </c>
      <c r="AQ29" s="283">
        <v>0</v>
      </c>
      <c r="AR29" s="281">
        <v>960</v>
      </c>
      <c r="AS29" s="281">
        <v>20</v>
      </c>
      <c r="AT29" s="281">
        <v>201</v>
      </c>
      <c r="AU29" s="330">
        <v>0</v>
      </c>
      <c r="AV29" s="281">
        <v>88.337236533957849</v>
      </c>
      <c r="AW29" s="281">
        <v>75.662763466042151</v>
      </c>
      <c r="AX29" s="281">
        <v>4.628571428571429</v>
      </c>
      <c r="AY29" s="281">
        <v>47</v>
      </c>
      <c r="AZ29" s="281">
        <v>1219</v>
      </c>
      <c r="BA29" s="281">
        <v>169</v>
      </c>
      <c r="BB29" s="281">
        <v>608</v>
      </c>
      <c r="BC29" s="281">
        <v>6000</v>
      </c>
      <c r="BD29" s="281">
        <v>30</v>
      </c>
      <c r="BE29" s="281">
        <v>12799</v>
      </c>
      <c r="BF29" s="283">
        <v>0</v>
      </c>
      <c r="BG29" s="302">
        <v>280</v>
      </c>
      <c r="BH29" s="283">
        <v>0</v>
      </c>
      <c r="BI29" s="281">
        <v>100</v>
      </c>
      <c r="BJ29" s="281">
        <v>31437</v>
      </c>
      <c r="BK29" s="281">
        <v>98</v>
      </c>
      <c r="BL29" s="281">
        <v>337</v>
      </c>
      <c r="BM29" s="281">
        <v>410</v>
      </c>
      <c r="BN29" s="281">
        <v>1946</v>
      </c>
      <c r="BO29" s="281">
        <v>1310</v>
      </c>
      <c r="BP29" s="281">
        <v>966</v>
      </c>
      <c r="BQ29" s="281">
        <v>2055</v>
      </c>
      <c r="BR29" s="281">
        <v>2113</v>
      </c>
      <c r="BS29" s="283">
        <v>0</v>
      </c>
      <c r="BT29" s="281">
        <v>2977</v>
      </c>
      <c r="BU29" s="281">
        <v>11931</v>
      </c>
      <c r="BV29" s="281">
        <v>8791</v>
      </c>
      <c r="BW29" s="281">
        <v>310</v>
      </c>
      <c r="BX29" s="281">
        <v>39107</v>
      </c>
      <c r="BY29" s="283">
        <v>0</v>
      </c>
      <c r="BZ29" s="281">
        <v>18374</v>
      </c>
      <c r="CA29" s="281">
        <v>2.484375</v>
      </c>
      <c r="CB29" s="281">
        <v>12.515625</v>
      </c>
      <c r="CC29" s="281">
        <v>977</v>
      </c>
      <c r="CD29" s="281">
        <v>500</v>
      </c>
      <c r="CE29" s="281">
        <v>300</v>
      </c>
      <c r="CF29" s="281">
        <v>5</v>
      </c>
      <c r="CG29" s="281">
        <v>30</v>
      </c>
      <c r="CH29" s="281">
        <v>37</v>
      </c>
      <c r="CI29" s="281">
        <v>119879</v>
      </c>
      <c r="CJ29" s="281">
        <v>187</v>
      </c>
      <c r="CK29" s="281">
        <v>7412</v>
      </c>
      <c r="CL29" s="281">
        <v>125</v>
      </c>
      <c r="CM29" s="281">
        <v>1400</v>
      </c>
      <c r="CN29" s="281">
        <v>2073</v>
      </c>
      <c r="CO29" s="281">
        <v>257</v>
      </c>
      <c r="CP29" s="281"/>
      <c r="CQ29" s="281">
        <v>583.90933333333328</v>
      </c>
      <c r="CR29" s="281">
        <v>230.09066666666666</v>
      </c>
      <c r="CS29" s="281">
        <v>28</v>
      </c>
      <c r="CT29" s="281">
        <v>49.371428571428574</v>
      </c>
      <c r="CU29" s="283">
        <v>0</v>
      </c>
      <c r="CV29" s="283">
        <v>0</v>
      </c>
      <c r="CW29" s="281">
        <v>8</v>
      </c>
      <c r="CX29" s="281">
        <v>428490</v>
      </c>
      <c r="DA29" s="63"/>
      <c r="DB29" s="19"/>
      <c r="DC29" s="19"/>
      <c r="DD29" s="19"/>
      <c r="DE29" s="19"/>
      <c r="DF29" s="19"/>
      <c r="DG29" s="19"/>
      <c r="DH29" s="19"/>
    </row>
    <row r="30" spans="1:112" ht="17.5" x14ac:dyDescent="0.45">
      <c r="A30" s="270" t="s">
        <v>64</v>
      </c>
      <c r="B30" s="330">
        <v>0</v>
      </c>
      <c r="C30" s="281">
        <v>75</v>
      </c>
      <c r="D30" s="281">
        <v>1556</v>
      </c>
      <c r="E30" s="281">
        <v>24</v>
      </c>
      <c r="F30" s="281">
        <v>2958</v>
      </c>
      <c r="G30" s="281">
        <v>264</v>
      </c>
      <c r="H30" s="281">
        <v>418</v>
      </c>
      <c r="I30" s="281">
        <v>200</v>
      </c>
      <c r="J30" s="281">
        <v>100</v>
      </c>
      <c r="K30" s="281">
        <v>956</v>
      </c>
      <c r="L30" s="281">
        <v>117</v>
      </c>
      <c r="M30" s="330">
        <v>0</v>
      </c>
      <c r="N30" s="281">
        <v>672</v>
      </c>
      <c r="O30" s="330">
        <v>0</v>
      </c>
      <c r="P30" s="281">
        <v>108</v>
      </c>
      <c r="Q30" s="330">
        <v>0</v>
      </c>
      <c r="R30" s="281">
        <v>90</v>
      </c>
      <c r="S30" s="330">
        <v>0</v>
      </c>
      <c r="T30" s="330">
        <v>0</v>
      </c>
      <c r="U30" s="281">
        <v>113</v>
      </c>
      <c r="V30" s="281">
        <v>398</v>
      </c>
      <c r="W30" s="281">
        <v>131</v>
      </c>
      <c r="X30" s="281">
        <v>40</v>
      </c>
      <c r="Y30" s="281">
        <v>3510</v>
      </c>
      <c r="Z30" s="281">
        <v>20</v>
      </c>
      <c r="AA30" s="281">
        <v>50</v>
      </c>
      <c r="AB30" s="330">
        <v>0</v>
      </c>
      <c r="AC30" s="281">
        <v>760</v>
      </c>
      <c r="AD30" s="281">
        <v>75505</v>
      </c>
      <c r="AE30" s="281">
        <v>227</v>
      </c>
      <c r="AF30" s="281">
        <v>1145</v>
      </c>
      <c r="AG30" s="281">
        <v>30</v>
      </c>
      <c r="AH30" s="288">
        <v>16</v>
      </c>
      <c r="AI30" s="287">
        <v>0</v>
      </c>
      <c r="AJ30" s="281">
        <v>34</v>
      </c>
      <c r="AK30" s="281">
        <v>1665</v>
      </c>
      <c r="AL30" s="283">
        <v>0</v>
      </c>
      <c r="AM30" s="281">
        <v>36</v>
      </c>
      <c r="AN30" s="281">
        <v>780</v>
      </c>
      <c r="AO30" s="281">
        <v>1</v>
      </c>
      <c r="AP30" s="281">
        <v>53</v>
      </c>
      <c r="AQ30" s="283">
        <v>0</v>
      </c>
      <c r="AR30" s="281">
        <v>1051</v>
      </c>
      <c r="AS30" s="281">
        <v>11</v>
      </c>
      <c r="AT30" s="281">
        <v>234</v>
      </c>
      <c r="AU30" s="281">
        <v>14</v>
      </c>
      <c r="AV30" s="281">
        <v>88.337236533957849</v>
      </c>
      <c r="AW30" s="281">
        <v>75.662763466042151</v>
      </c>
      <c r="AX30" s="281">
        <v>9.257142857142858</v>
      </c>
      <c r="AY30" s="281">
        <v>47</v>
      </c>
      <c r="AZ30" s="281">
        <v>181</v>
      </c>
      <c r="BA30" s="281">
        <v>440</v>
      </c>
      <c r="BB30" s="281">
        <v>770</v>
      </c>
      <c r="BC30" s="281">
        <v>5999</v>
      </c>
      <c r="BD30" s="281">
        <v>30</v>
      </c>
      <c r="BE30" s="281">
        <v>12395</v>
      </c>
      <c r="BF30" s="283">
        <v>0</v>
      </c>
      <c r="BG30" s="302">
        <v>140</v>
      </c>
      <c r="BH30" s="283">
        <v>0</v>
      </c>
      <c r="BI30" s="281">
        <v>269</v>
      </c>
      <c r="BJ30" s="281">
        <v>16055</v>
      </c>
      <c r="BK30" s="281">
        <v>98</v>
      </c>
      <c r="BL30" s="281">
        <v>421</v>
      </c>
      <c r="BM30" s="281">
        <v>410</v>
      </c>
      <c r="BN30" s="281">
        <v>2346</v>
      </c>
      <c r="BO30" s="281">
        <v>2466</v>
      </c>
      <c r="BP30" s="281">
        <v>1652</v>
      </c>
      <c r="BQ30" s="281">
        <v>2017</v>
      </c>
      <c r="BR30" s="281">
        <v>1887</v>
      </c>
      <c r="BS30" s="283">
        <v>0</v>
      </c>
      <c r="BT30" s="281">
        <v>2023</v>
      </c>
      <c r="BU30" s="281">
        <v>13499</v>
      </c>
      <c r="BV30" s="281">
        <v>1210</v>
      </c>
      <c r="BW30" s="281">
        <v>310</v>
      </c>
      <c r="BX30" s="281">
        <v>25535</v>
      </c>
      <c r="BY30" s="283">
        <v>0</v>
      </c>
      <c r="BZ30" s="281">
        <v>5738</v>
      </c>
      <c r="CA30" s="281">
        <v>53</v>
      </c>
      <c r="CB30" s="281">
        <v>267</v>
      </c>
      <c r="CC30" s="281">
        <v>977</v>
      </c>
      <c r="CD30" s="281">
        <v>500</v>
      </c>
      <c r="CE30" s="283">
        <v>0</v>
      </c>
      <c r="CF30" s="281">
        <v>3</v>
      </c>
      <c r="CG30" s="281">
        <v>1390</v>
      </c>
      <c r="CH30" s="281">
        <v>37</v>
      </c>
      <c r="CI30" s="281">
        <v>110532</v>
      </c>
      <c r="CJ30" s="281">
        <v>325</v>
      </c>
      <c r="CK30" s="281">
        <v>12684</v>
      </c>
      <c r="CL30" s="281">
        <v>175</v>
      </c>
      <c r="CM30" s="281">
        <v>1600</v>
      </c>
      <c r="CN30" s="281">
        <v>1661</v>
      </c>
      <c r="CO30" s="281">
        <v>275</v>
      </c>
      <c r="CP30" s="281">
        <v>135</v>
      </c>
      <c r="CQ30" s="281">
        <v>493.52533333333332</v>
      </c>
      <c r="CR30" s="281">
        <v>194.47466666666668</v>
      </c>
      <c r="CS30" s="281">
        <v>30</v>
      </c>
      <c r="CT30" s="281">
        <v>98.742857142857147</v>
      </c>
      <c r="CU30" s="283">
        <v>0</v>
      </c>
      <c r="CV30" s="283">
        <v>0</v>
      </c>
      <c r="CW30" s="281">
        <v>8</v>
      </c>
      <c r="CX30" s="281">
        <v>320912</v>
      </c>
      <c r="DB30" s="19"/>
      <c r="DC30" s="19"/>
      <c r="DD30" s="19"/>
      <c r="DE30" s="19"/>
      <c r="DF30" s="19"/>
      <c r="DG30" s="19"/>
      <c r="DH30" s="19"/>
    </row>
    <row r="31" spans="1:112" ht="17.5" x14ac:dyDescent="0.45">
      <c r="A31" s="270" t="s">
        <v>65</v>
      </c>
      <c r="B31" s="281">
        <v>17</v>
      </c>
      <c r="C31" s="281">
        <v>75</v>
      </c>
      <c r="D31" s="281">
        <v>984</v>
      </c>
      <c r="E31" s="281">
        <v>24</v>
      </c>
      <c r="F31" s="281">
        <v>2461</v>
      </c>
      <c r="G31" s="281">
        <v>264</v>
      </c>
      <c r="H31" s="281">
        <v>348</v>
      </c>
      <c r="I31" s="281">
        <v>275</v>
      </c>
      <c r="J31" s="281">
        <v>100</v>
      </c>
      <c r="K31" s="281">
        <v>993</v>
      </c>
      <c r="L31" s="281">
        <v>119</v>
      </c>
      <c r="M31" s="281">
        <v>48</v>
      </c>
      <c r="N31" s="281">
        <v>1264</v>
      </c>
      <c r="O31" s="330">
        <v>0</v>
      </c>
      <c r="P31" s="281">
        <v>113</v>
      </c>
      <c r="Q31" s="330">
        <v>0</v>
      </c>
      <c r="R31" s="281">
        <v>138</v>
      </c>
      <c r="S31" s="281">
        <v>14</v>
      </c>
      <c r="T31" s="281">
        <v>106</v>
      </c>
      <c r="U31" s="330">
        <v>0</v>
      </c>
      <c r="V31" s="281">
        <v>629</v>
      </c>
      <c r="W31" s="281">
        <v>169</v>
      </c>
      <c r="X31" s="281">
        <v>54</v>
      </c>
      <c r="Y31" s="281">
        <v>6789</v>
      </c>
      <c r="Z31" s="281">
        <v>6</v>
      </c>
      <c r="AA31" s="281">
        <v>50</v>
      </c>
      <c r="AB31" s="281">
        <v>84</v>
      </c>
      <c r="AC31" s="281">
        <v>655</v>
      </c>
      <c r="AD31" s="281">
        <v>140154</v>
      </c>
      <c r="AE31" s="287">
        <v>0</v>
      </c>
      <c r="AF31" s="281">
        <v>1333</v>
      </c>
      <c r="AG31" s="281">
        <v>30</v>
      </c>
      <c r="AH31" s="288">
        <v>16</v>
      </c>
      <c r="AI31" s="287">
        <v>0</v>
      </c>
      <c r="AJ31" s="287">
        <v>0</v>
      </c>
      <c r="AK31" s="281">
        <v>2121</v>
      </c>
      <c r="AL31" s="283">
        <v>0</v>
      </c>
      <c r="AM31" s="283">
        <v>0</v>
      </c>
      <c r="AN31" s="281">
        <v>188</v>
      </c>
      <c r="AO31" s="283">
        <v>0</v>
      </c>
      <c r="AP31" s="281">
        <v>12</v>
      </c>
      <c r="AQ31" s="283">
        <v>0</v>
      </c>
      <c r="AR31" s="281">
        <v>869</v>
      </c>
      <c r="AS31" s="281">
        <v>14</v>
      </c>
      <c r="AT31" s="281">
        <v>471</v>
      </c>
      <c r="AU31" s="330">
        <v>0</v>
      </c>
      <c r="AV31" s="281">
        <v>80.796252927400474</v>
      </c>
      <c r="AW31" s="281">
        <v>69.203747072599541</v>
      </c>
      <c r="AX31" s="281">
        <v>19.37142857142857</v>
      </c>
      <c r="AY31" s="281">
        <v>92</v>
      </c>
      <c r="AZ31" s="281">
        <v>784</v>
      </c>
      <c r="BA31" s="281">
        <v>208</v>
      </c>
      <c r="BB31" s="281">
        <v>567</v>
      </c>
      <c r="BC31" s="281">
        <v>8056</v>
      </c>
      <c r="BD31" s="281">
        <v>30</v>
      </c>
      <c r="BE31" s="281">
        <v>13933</v>
      </c>
      <c r="BF31" s="283">
        <v>0</v>
      </c>
      <c r="BG31" s="282">
        <v>0</v>
      </c>
      <c r="BH31" s="283">
        <v>0</v>
      </c>
      <c r="BI31" s="281">
        <v>269</v>
      </c>
      <c r="BJ31" s="281">
        <v>30524</v>
      </c>
      <c r="BK31" s="283">
        <v>0</v>
      </c>
      <c r="BL31" s="281">
        <v>183</v>
      </c>
      <c r="BM31" s="281">
        <v>410</v>
      </c>
      <c r="BN31" s="281">
        <v>1591</v>
      </c>
      <c r="BO31" s="281">
        <v>1304</v>
      </c>
      <c r="BP31" s="281">
        <v>1279</v>
      </c>
      <c r="BQ31" s="281">
        <v>1001</v>
      </c>
      <c r="BR31" s="281">
        <v>2079</v>
      </c>
      <c r="BS31" s="283">
        <v>0</v>
      </c>
      <c r="BT31" s="281">
        <v>4277</v>
      </c>
      <c r="BU31" s="281">
        <v>22401</v>
      </c>
      <c r="BV31" s="281">
        <v>10337</v>
      </c>
      <c r="BW31" s="281">
        <v>310</v>
      </c>
      <c r="BX31" s="281">
        <v>56212</v>
      </c>
      <c r="BY31" s="283">
        <v>0</v>
      </c>
      <c r="BZ31" s="281">
        <v>15942</v>
      </c>
      <c r="CA31" s="281">
        <v>46.706249999999997</v>
      </c>
      <c r="CB31" s="281">
        <v>235.29374999999999</v>
      </c>
      <c r="CC31" s="281">
        <v>423</v>
      </c>
      <c r="CD31" s="281">
        <v>500</v>
      </c>
      <c r="CE31" s="281">
        <v>600</v>
      </c>
      <c r="CF31" s="281">
        <v>3</v>
      </c>
      <c r="CG31" s="281">
        <v>455</v>
      </c>
      <c r="CH31" s="283">
        <v>0</v>
      </c>
      <c r="CI31" s="281">
        <v>65431</v>
      </c>
      <c r="CJ31" s="281">
        <v>325</v>
      </c>
      <c r="CK31" s="281">
        <v>11899</v>
      </c>
      <c r="CL31" s="281">
        <v>200</v>
      </c>
      <c r="CM31" s="281">
        <v>301</v>
      </c>
      <c r="CN31" s="281">
        <v>2861</v>
      </c>
      <c r="CO31" s="281">
        <v>275</v>
      </c>
      <c r="CP31" s="281">
        <v>135</v>
      </c>
      <c r="CQ31" s="281">
        <v>667.12</v>
      </c>
      <c r="CR31" s="281">
        <v>262.88</v>
      </c>
      <c r="CS31" s="281">
        <v>57</v>
      </c>
      <c r="CT31" s="281">
        <v>206.62857142857143</v>
      </c>
      <c r="CU31" s="283">
        <v>0</v>
      </c>
      <c r="CV31" s="283">
        <v>0</v>
      </c>
      <c r="CW31" s="281">
        <v>8</v>
      </c>
      <c r="CX31" s="281">
        <v>417837</v>
      </c>
      <c r="DB31" s="19"/>
      <c r="DF31" s="19"/>
      <c r="DH31" s="19"/>
    </row>
    <row r="32" spans="1:112" ht="17.5" x14ac:dyDescent="0.45">
      <c r="A32" s="270" t="s">
        <v>66</v>
      </c>
      <c r="B32" s="330">
        <v>0</v>
      </c>
      <c r="C32" s="281">
        <v>75</v>
      </c>
      <c r="D32" s="281">
        <v>1258</v>
      </c>
      <c r="E32" s="281">
        <v>24</v>
      </c>
      <c r="F32" s="281">
        <v>1814</v>
      </c>
      <c r="G32" s="281">
        <v>264</v>
      </c>
      <c r="H32" s="281">
        <v>419</v>
      </c>
      <c r="I32" s="281">
        <v>75</v>
      </c>
      <c r="J32" s="281">
        <v>100</v>
      </c>
      <c r="K32" s="281">
        <v>458</v>
      </c>
      <c r="L32" s="330">
        <v>0</v>
      </c>
      <c r="M32" s="281">
        <v>49</v>
      </c>
      <c r="N32" s="281">
        <v>385</v>
      </c>
      <c r="O32" s="330">
        <v>0</v>
      </c>
      <c r="P32" s="281">
        <v>47</v>
      </c>
      <c r="Q32" s="330">
        <v>0</v>
      </c>
      <c r="R32" s="330">
        <v>0</v>
      </c>
      <c r="S32" s="330">
        <v>0</v>
      </c>
      <c r="T32" s="330">
        <v>0</v>
      </c>
      <c r="U32" s="281">
        <v>60</v>
      </c>
      <c r="V32" s="281">
        <v>579</v>
      </c>
      <c r="W32" s="281">
        <v>131</v>
      </c>
      <c r="X32" s="281">
        <v>53</v>
      </c>
      <c r="Y32" s="281">
        <v>2847</v>
      </c>
      <c r="Z32" s="330">
        <v>0</v>
      </c>
      <c r="AA32" s="281">
        <v>50</v>
      </c>
      <c r="AB32" s="330">
        <v>0</v>
      </c>
      <c r="AC32" s="281">
        <v>675</v>
      </c>
      <c r="AD32" s="281">
        <v>77144</v>
      </c>
      <c r="AE32" s="281">
        <v>368</v>
      </c>
      <c r="AF32" s="281">
        <v>1450</v>
      </c>
      <c r="AG32" s="281">
        <v>30</v>
      </c>
      <c r="AH32" s="288">
        <v>16</v>
      </c>
      <c r="AI32" s="287">
        <v>0</v>
      </c>
      <c r="AJ32" s="281">
        <v>41</v>
      </c>
      <c r="AK32" s="281">
        <v>1170</v>
      </c>
      <c r="AL32" s="283">
        <v>0</v>
      </c>
      <c r="AM32" s="281">
        <v>40</v>
      </c>
      <c r="AN32" s="281">
        <v>210</v>
      </c>
      <c r="AO32" s="283">
        <v>0</v>
      </c>
      <c r="AP32" s="282">
        <v>0</v>
      </c>
      <c r="AQ32" s="283">
        <v>0</v>
      </c>
      <c r="AR32" s="281">
        <v>720</v>
      </c>
      <c r="AS32" s="281">
        <v>20</v>
      </c>
      <c r="AT32" s="281">
        <v>54</v>
      </c>
      <c r="AU32" s="330">
        <v>0</v>
      </c>
      <c r="AV32" s="281">
        <v>80.796252927400474</v>
      </c>
      <c r="AW32" s="281">
        <v>69.203747072599541</v>
      </c>
      <c r="AX32" s="281">
        <v>30</v>
      </c>
      <c r="AY32" s="281">
        <v>47</v>
      </c>
      <c r="AZ32" s="281">
        <v>966</v>
      </c>
      <c r="BA32" s="281">
        <v>440</v>
      </c>
      <c r="BB32" s="281">
        <v>746</v>
      </c>
      <c r="BC32" s="281">
        <v>3747</v>
      </c>
      <c r="BD32" s="281">
        <v>30</v>
      </c>
      <c r="BE32" s="281">
        <v>9374</v>
      </c>
      <c r="BF32" s="283">
        <v>0</v>
      </c>
      <c r="BG32" s="282">
        <v>0</v>
      </c>
      <c r="BH32" s="283">
        <v>0</v>
      </c>
      <c r="BI32" s="281">
        <v>269</v>
      </c>
      <c r="BJ32" s="281">
        <v>43694</v>
      </c>
      <c r="BK32" s="281">
        <v>98</v>
      </c>
      <c r="BL32" s="281">
        <v>322</v>
      </c>
      <c r="BM32" s="281">
        <v>410</v>
      </c>
      <c r="BN32" s="281">
        <v>1751</v>
      </c>
      <c r="BO32" s="281">
        <v>1395</v>
      </c>
      <c r="BP32" s="281">
        <v>976</v>
      </c>
      <c r="BQ32" s="281">
        <v>1819</v>
      </c>
      <c r="BR32" s="281">
        <v>2921</v>
      </c>
      <c r="BS32" s="283">
        <v>0</v>
      </c>
      <c r="BT32" s="281">
        <v>2227</v>
      </c>
      <c r="BU32" s="281">
        <v>13541</v>
      </c>
      <c r="BV32" s="281">
        <v>4580</v>
      </c>
      <c r="BW32" s="281">
        <v>310</v>
      </c>
      <c r="BX32" s="281">
        <v>34423</v>
      </c>
      <c r="BY32" s="283">
        <v>0</v>
      </c>
      <c r="BZ32" s="281">
        <v>13497</v>
      </c>
      <c r="CA32" s="283">
        <v>0</v>
      </c>
      <c r="CB32" s="281">
        <v>14</v>
      </c>
      <c r="CC32" s="281">
        <v>1130</v>
      </c>
      <c r="CD32" s="281">
        <v>750</v>
      </c>
      <c r="CE32" s="281">
        <v>600</v>
      </c>
      <c r="CF32" s="281">
        <v>3</v>
      </c>
      <c r="CG32" s="281">
        <v>618</v>
      </c>
      <c r="CH32" s="283">
        <v>0</v>
      </c>
      <c r="CI32" s="281">
        <v>56500</v>
      </c>
      <c r="CJ32" s="281">
        <v>325</v>
      </c>
      <c r="CK32" s="281">
        <v>9134</v>
      </c>
      <c r="CL32" s="281">
        <v>49</v>
      </c>
      <c r="CM32" s="281">
        <v>1139</v>
      </c>
      <c r="CN32" s="281">
        <v>2000</v>
      </c>
      <c r="CO32" s="283">
        <v>0</v>
      </c>
      <c r="CP32" s="281">
        <v>135</v>
      </c>
      <c r="CQ32" s="281">
        <v>808</v>
      </c>
      <c r="CR32" s="281">
        <v>159</v>
      </c>
      <c r="CS32" s="281">
        <v>58</v>
      </c>
      <c r="CT32" s="281">
        <v>75</v>
      </c>
      <c r="CU32" s="283">
        <v>0</v>
      </c>
      <c r="CV32" s="283">
        <v>0</v>
      </c>
      <c r="CW32" s="281">
        <v>4</v>
      </c>
      <c r="CX32" s="281">
        <v>301890</v>
      </c>
      <c r="DB32" s="19"/>
      <c r="DF32" s="19"/>
      <c r="DH32" s="19"/>
    </row>
    <row r="33" spans="1:112" ht="17.5" x14ac:dyDescent="0.45">
      <c r="A33" s="269" t="s">
        <v>67</v>
      </c>
      <c r="B33" s="330">
        <v>0</v>
      </c>
      <c r="C33" s="281">
        <v>75</v>
      </c>
      <c r="D33" s="281">
        <v>1815</v>
      </c>
      <c r="E33" s="281">
        <v>24</v>
      </c>
      <c r="F33" s="281">
        <v>2655</v>
      </c>
      <c r="G33" s="281">
        <v>264</v>
      </c>
      <c r="H33" s="281">
        <v>419</v>
      </c>
      <c r="I33" s="281">
        <v>176</v>
      </c>
      <c r="J33" s="281">
        <v>100</v>
      </c>
      <c r="K33" s="281">
        <v>368</v>
      </c>
      <c r="L33" s="281">
        <v>117</v>
      </c>
      <c r="M33" s="281">
        <v>48</v>
      </c>
      <c r="N33" s="281">
        <v>711</v>
      </c>
      <c r="O33" s="330">
        <v>0</v>
      </c>
      <c r="P33" s="281">
        <v>58</v>
      </c>
      <c r="Q33" s="330">
        <v>0</v>
      </c>
      <c r="R33" s="281">
        <v>90</v>
      </c>
      <c r="S33" s="330">
        <v>0</v>
      </c>
      <c r="T33" s="330">
        <v>0</v>
      </c>
      <c r="U33" s="281">
        <v>111</v>
      </c>
      <c r="V33" s="281">
        <v>499</v>
      </c>
      <c r="W33" s="330">
        <v>0</v>
      </c>
      <c r="X33" s="281">
        <v>14</v>
      </c>
      <c r="Y33" s="281">
        <v>11870</v>
      </c>
      <c r="Z33" s="330">
        <v>0</v>
      </c>
      <c r="AA33" s="281">
        <v>50</v>
      </c>
      <c r="AB33" s="281">
        <v>77</v>
      </c>
      <c r="AC33" s="281">
        <v>683</v>
      </c>
      <c r="AD33" s="281">
        <v>54058</v>
      </c>
      <c r="AE33" s="281">
        <v>86</v>
      </c>
      <c r="AF33" s="281">
        <v>151</v>
      </c>
      <c r="AG33" s="281">
        <v>30</v>
      </c>
      <c r="AH33" s="288">
        <v>16</v>
      </c>
      <c r="AI33" s="287">
        <v>0</v>
      </c>
      <c r="AJ33" s="281">
        <v>43</v>
      </c>
      <c r="AK33" s="281">
        <v>361</v>
      </c>
      <c r="AL33" s="283">
        <v>0</v>
      </c>
      <c r="AM33" s="283">
        <v>0</v>
      </c>
      <c r="AN33" s="281">
        <v>402</v>
      </c>
      <c r="AO33" s="281">
        <v>1</v>
      </c>
      <c r="AP33" s="302">
        <v>15</v>
      </c>
      <c r="AQ33" s="283">
        <v>0</v>
      </c>
      <c r="AR33" s="281">
        <v>720</v>
      </c>
      <c r="AS33" s="281">
        <v>18</v>
      </c>
      <c r="AT33" s="281">
        <v>277</v>
      </c>
      <c r="AU33" s="330">
        <v>0</v>
      </c>
      <c r="AV33" s="281">
        <v>95.339578454332553</v>
      </c>
      <c r="AW33" s="281">
        <v>81.660421545667447</v>
      </c>
      <c r="AX33" s="281">
        <v>30</v>
      </c>
      <c r="AY33" s="281">
        <v>47</v>
      </c>
      <c r="AZ33" s="281">
        <v>55</v>
      </c>
      <c r="BA33" s="281">
        <v>95</v>
      </c>
      <c r="BB33" s="281">
        <v>161</v>
      </c>
      <c r="BC33" s="281">
        <v>8966</v>
      </c>
      <c r="BD33" s="283">
        <v>0</v>
      </c>
      <c r="BE33" s="281">
        <v>5130</v>
      </c>
      <c r="BF33" s="283">
        <v>0</v>
      </c>
      <c r="BG33" s="302">
        <v>140</v>
      </c>
      <c r="BH33" s="283">
        <v>0</v>
      </c>
      <c r="BI33" s="281">
        <v>269</v>
      </c>
      <c r="BJ33" s="281">
        <v>13808</v>
      </c>
      <c r="BK33" s="281">
        <v>98</v>
      </c>
      <c r="BL33" s="281">
        <v>63</v>
      </c>
      <c r="BM33" s="281">
        <v>410</v>
      </c>
      <c r="BN33" s="281">
        <v>1600</v>
      </c>
      <c r="BO33" s="281">
        <v>1276</v>
      </c>
      <c r="BP33" s="281">
        <v>976</v>
      </c>
      <c r="BQ33" s="281">
        <v>1461</v>
      </c>
      <c r="BR33" s="283">
        <v>0</v>
      </c>
      <c r="BS33" s="283">
        <v>0</v>
      </c>
      <c r="BT33" s="281">
        <v>1533</v>
      </c>
      <c r="BU33" s="281">
        <v>14800</v>
      </c>
      <c r="BV33" s="281">
        <v>3385</v>
      </c>
      <c r="BW33" s="281">
        <v>310</v>
      </c>
      <c r="BX33" s="281">
        <v>4640</v>
      </c>
      <c r="BY33" s="283">
        <v>0</v>
      </c>
      <c r="BZ33" s="281">
        <v>9973</v>
      </c>
      <c r="CA33" s="281">
        <v>15</v>
      </c>
      <c r="CB33" s="283">
        <v>0</v>
      </c>
      <c r="CC33" s="281">
        <v>490</v>
      </c>
      <c r="CD33" s="281">
        <v>21</v>
      </c>
      <c r="CE33" s="281">
        <v>300</v>
      </c>
      <c r="CF33" s="281">
        <v>3</v>
      </c>
      <c r="CG33" s="281">
        <v>579</v>
      </c>
      <c r="CH33" s="283">
        <v>0</v>
      </c>
      <c r="CI33" s="281">
        <v>56467</v>
      </c>
      <c r="CJ33" s="281">
        <v>325</v>
      </c>
      <c r="CK33" s="281">
        <v>8983</v>
      </c>
      <c r="CL33" s="281">
        <v>93</v>
      </c>
      <c r="CM33" s="281">
        <v>301</v>
      </c>
      <c r="CN33" s="281">
        <v>2000</v>
      </c>
      <c r="CO33" s="281">
        <v>275</v>
      </c>
      <c r="CP33" s="283">
        <v>0</v>
      </c>
      <c r="CQ33" s="283">
        <v>0</v>
      </c>
      <c r="CR33" s="281">
        <v>32</v>
      </c>
      <c r="CS33" s="281">
        <v>58</v>
      </c>
      <c r="CT33" s="281">
        <v>225</v>
      </c>
      <c r="CU33" s="283">
        <v>0</v>
      </c>
      <c r="CV33" s="283">
        <v>0</v>
      </c>
      <c r="CW33" s="281">
        <v>4</v>
      </c>
      <c r="CX33" s="281">
        <v>215976</v>
      </c>
      <c r="DB33" s="19"/>
      <c r="DF33" s="19"/>
      <c r="DH33" s="19"/>
    </row>
    <row r="34" spans="1:112" ht="17.5" x14ac:dyDescent="0.45">
      <c r="A34" s="269" t="s">
        <v>68</v>
      </c>
      <c r="B34" s="330">
        <v>0</v>
      </c>
      <c r="C34" s="281">
        <v>74</v>
      </c>
      <c r="D34" s="281">
        <v>1317</v>
      </c>
      <c r="E34" s="281">
        <v>24</v>
      </c>
      <c r="F34" s="281">
        <v>1955</v>
      </c>
      <c r="G34" s="281">
        <v>264</v>
      </c>
      <c r="H34" s="281">
        <v>419</v>
      </c>
      <c r="I34" s="281">
        <v>124</v>
      </c>
      <c r="J34" s="281">
        <v>100</v>
      </c>
      <c r="K34" s="281">
        <v>728</v>
      </c>
      <c r="L34" s="281">
        <v>60</v>
      </c>
      <c r="M34" s="281">
        <v>49</v>
      </c>
      <c r="N34" s="281">
        <v>12</v>
      </c>
      <c r="O34" s="330">
        <v>0</v>
      </c>
      <c r="P34" s="281">
        <v>109</v>
      </c>
      <c r="Q34" s="330">
        <v>0</v>
      </c>
      <c r="R34" s="281">
        <v>86</v>
      </c>
      <c r="S34" s="281">
        <v>2</v>
      </c>
      <c r="T34" s="281">
        <v>1</v>
      </c>
      <c r="U34" s="281">
        <v>204</v>
      </c>
      <c r="V34" s="281">
        <v>632</v>
      </c>
      <c r="W34" s="281">
        <v>131</v>
      </c>
      <c r="X34" s="281">
        <v>16</v>
      </c>
      <c r="Y34" s="281">
        <v>7094</v>
      </c>
      <c r="Z34" s="330">
        <v>0</v>
      </c>
      <c r="AA34" s="281">
        <v>50</v>
      </c>
      <c r="AB34" s="330">
        <v>0</v>
      </c>
      <c r="AC34" s="281">
        <v>675</v>
      </c>
      <c r="AD34" s="281">
        <v>112387</v>
      </c>
      <c r="AE34" s="281">
        <v>72</v>
      </c>
      <c r="AF34" s="281">
        <v>1185</v>
      </c>
      <c r="AG34" s="281">
        <v>30</v>
      </c>
      <c r="AH34" s="288">
        <v>16</v>
      </c>
      <c r="AI34" s="287">
        <v>0</v>
      </c>
      <c r="AJ34" s="281">
        <v>12</v>
      </c>
      <c r="AK34" s="281">
        <v>1025</v>
      </c>
      <c r="AL34" s="283">
        <v>0</v>
      </c>
      <c r="AM34" s="281">
        <v>40</v>
      </c>
      <c r="AN34" s="281">
        <v>451</v>
      </c>
      <c r="AO34" s="283">
        <v>0</v>
      </c>
      <c r="AP34" s="302">
        <v>13</v>
      </c>
      <c r="AQ34" s="281">
        <v>74</v>
      </c>
      <c r="AR34" s="281">
        <v>720</v>
      </c>
      <c r="AS34" s="281">
        <v>20</v>
      </c>
      <c r="AT34" s="281">
        <v>173</v>
      </c>
      <c r="AU34" s="330">
        <v>0</v>
      </c>
      <c r="AV34" s="281">
        <v>78</v>
      </c>
      <c r="AW34" s="281">
        <v>99</v>
      </c>
      <c r="AX34" s="281">
        <v>30</v>
      </c>
      <c r="AY34" s="281">
        <v>47</v>
      </c>
      <c r="AZ34" s="281">
        <v>470</v>
      </c>
      <c r="BA34" s="281">
        <v>337</v>
      </c>
      <c r="BB34" s="281">
        <v>930</v>
      </c>
      <c r="BC34" s="281">
        <v>4857</v>
      </c>
      <c r="BD34" s="281">
        <v>30</v>
      </c>
      <c r="BE34" s="281">
        <v>12449</v>
      </c>
      <c r="BF34" s="283">
        <v>0</v>
      </c>
      <c r="BG34" s="302">
        <v>140</v>
      </c>
      <c r="BH34" s="283">
        <v>0</v>
      </c>
      <c r="BI34" s="281">
        <v>269</v>
      </c>
      <c r="BJ34" s="281">
        <v>21329</v>
      </c>
      <c r="BK34" s="281">
        <v>98</v>
      </c>
      <c r="BL34" s="281">
        <v>293</v>
      </c>
      <c r="BM34" s="281">
        <v>410</v>
      </c>
      <c r="BN34" s="281">
        <v>1567</v>
      </c>
      <c r="BO34" s="281">
        <v>990</v>
      </c>
      <c r="BP34" s="281">
        <v>976</v>
      </c>
      <c r="BQ34" s="281">
        <v>1265</v>
      </c>
      <c r="BR34" s="281">
        <v>3500</v>
      </c>
      <c r="BS34" s="283">
        <v>0</v>
      </c>
      <c r="BT34" s="281">
        <v>2217</v>
      </c>
      <c r="BU34" s="281">
        <v>15000</v>
      </c>
      <c r="BV34" s="281">
        <v>3071</v>
      </c>
      <c r="BW34" s="281">
        <v>310</v>
      </c>
      <c r="BX34" s="281">
        <v>49499</v>
      </c>
      <c r="BY34" s="283">
        <v>0</v>
      </c>
      <c r="BZ34" s="281">
        <v>11038</v>
      </c>
      <c r="CA34" s="283">
        <v>0</v>
      </c>
      <c r="CB34" s="283">
        <v>0</v>
      </c>
      <c r="CC34" s="281">
        <v>1032</v>
      </c>
      <c r="CD34" s="281">
        <v>854</v>
      </c>
      <c r="CE34" s="281">
        <v>300</v>
      </c>
      <c r="CF34" s="281">
        <v>3</v>
      </c>
      <c r="CG34" s="281">
        <v>672</v>
      </c>
      <c r="CH34" s="281">
        <v>36</v>
      </c>
      <c r="CI34" s="281">
        <v>33650</v>
      </c>
      <c r="CJ34" s="281">
        <v>325</v>
      </c>
      <c r="CK34" s="281">
        <v>6837</v>
      </c>
      <c r="CL34" s="281">
        <v>200</v>
      </c>
      <c r="CM34" s="281">
        <v>949</v>
      </c>
      <c r="CN34" s="281">
        <v>2000</v>
      </c>
      <c r="CO34" s="281">
        <v>243</v>
      </c>
      <c r="CP34" s="281">
        <v>135</v>
      </c>
      <c r="CQ34" s="281">
        <v>404</v>
      </c>
      <c r="CR34" s="281">
        <v>147</v>
      </c>
      <c r="CS34" s="281">
        <v>58</v>
      </c>
      <c r="CT34" s="281">
        <v>314</v>
      </c>
      <c r="CU34" s="283">
        <v>0</v>
      </c>
      <c r="CV34" s="283">
        <v>0</v>
      </c>
      <c r="CW34" s="281">
        <v>4</v>
      </c>
      <c r="CX34" s="281">
        <v>309806</v>
      </c>
      <c r="DB34" s="19"/>
      <c r="DF34" s="19"/>
      <c r="DH34" s="19"/>
    </row>
    <row r="35" spans="1:112" ht="17.5" x14ac:dyDescent="0.45">
      <c r="A35" s="269" t="s">
        <v>69</v>
      </c>
      <c r="B35" s="284">
        <v>0</v>
      </c>
      <c r="C35" s="281">
        <v>74</v>
      </c>
      <c r="D35" s="281">
        <v>783</v>
      </c>
      <c r="E35" s="281">
        <v>24</v>
      </c>
      <c r="F35" s="281">
        <v>3546</v>
      </c>
      <c r="G35" s="281">
        <v>260</v>
      </c>
      <c r="H35" s="281">
        <v>419</v>
      </c>
      <c r="I35" s="281">
        <v>150</v>
      </c>
      <c r="J35" s="281">
        <v>100</v>
      </c>
      <c r="K35" s="281">
        <v>604</v>
      </c>
      <c r="L35" s="281">
        <v>81</v>
      </c>
      <c r="M35" s="281">
        <v>49</v>
      </c>
      <c r="N35" s="281">
        <v>1332</v>
      </c>
      <c r="O35" s="284">
        <v>0</v>
      </c>
      <c r="P35" s="281">
        <v>99</v>
      </c>
      <c r="Q35" s="284">
        <v>0</v>
      </c>
      <c r="R35" s="284">
        <v>0</v>
      </c>
      <c r="S35" s="284">
        <v>0</v>
      </c>
      <c r="T35" s="284">
        <v>0</v>
      </c>
      <c r="U35" s="281">
        <v>337</v>
      </c>
      <c r="V35" s="281">
        <v>471</v>
      </c>
      <c r="W35" s="281">
        <v>160</v>
      </c>
      <c r="X35" s="281">
        <v>14</v>
      </c>
      <c r="Y35" s="281">
        <v>5179</v>
      </c>
      <c r="Z35" s="281">
        <v>20</v>
      </c>
      <c r="AA35" s="281">
        <v>50</v>
      </c>
      <c r="AB35" s="281">
        <v>59</v>
      </c>
      <c r="AC35" s="281">
        <v>675</v>
      </c>
      <c r="AD35" s="281">
        <v>95578</v>
      </c>
      <c r="AE35" s="281">
        <v>226</v>
      </c>
      <c r="AF35" s="281">
        <v>1488</v>
      </c>
      <c r="AG35" s="281">
        <v>30</v>
      </c>
      <c r="AH35" s="288">
        <v>14</v>
      </c>
      <c r="AI35" s="281">
        <v>39</v>
      </c>
      <c r="AJ35" s="281">
        <v>94</v>
      </c>
      <c r="AK35" s="281">
        <v>1683</v>
      </c>
      <c r="AL35" s="283">
        <v>0</v>
      </c>
      <c r="AM35" s="283">
        <v>0</v>
      </c>
      <c r="AN35" s="281">
        <v>401</v>
      </c>
      <c r="AO35" s="283">
        <v>0</v>
      </c>
      <c r="AP35" s="282">
        <v>0</v>
      </c>
      <c r="AQ35" s="283">
        <v>0</v>
      </c>
      <c r="AR35" s="281">
        <v>929</v>
      </c>
      <c r="AS35" s="281">
        <v>20</v>
      </c>
      <c r="AT35" s="281">
        <v>262</v>
      </c>
      <c r="AU35" s="284">
        <v>0</v>
      </c>
      <c r="AV35" s="281">
        <v>99</v>
      </c>
      <c r="AW35" s="281">
        <v>78</v>
      </c>
      <c r="AX35" s="281">
        <v>30</v>
      </c>
      <c r="AY35" s="281">
        <v>47</v>
      </c>
      <c r="AZ35" s="281">
        <v>555</v>
      </c>
      <c r="BA35" s="281">
        <v>322</v>
      </c>
      <c r="BB35" s="281">
        <v>375</v>
      </c>
      <c r="BC35" s="281">
        <v>5143</v>
      </c>
      <c r="BD35" s="281">
        <v>30</v>
      </c>
      <c r="BE35" s="281">
        <v>8958</v>
      </c>
      <c r="BF35" s="283">
        <v>0</v>
      </c>
      <c r="BG35" s="302">
        <v>140</v>
      </c>
      <c r="BH35" s="283">
        <v>0</v>
      </c>
      <c r="BI35" s="281">
        <v>269</v>
      </c>
      <c r="BJ35" s="281">
        <v>22755</v>
      </c>
      <c r="BK35" s="281">
        <v>98</v>
      </c>
      <c r="BL35" s="281">
        <v>165</v>
      </c>
      <c r="BM35" s="281">
        <v>410</v>
      </c>
      <c r="BN35" s="281">
        <v>1184</v>
      </c>
      <c r="BO35" s="281">
        <v>694</v>
      </c>
      <c r="BP35" s="281">
        <v>976</v>
      </c>
      <c r="BQ35" s="281">
        <v>238</v>
      </c>
      <c r="BR35" s="281">
        <v>2000</v>
      </c>
      <c r="BS35" s="283">
        <v>0</v>
      </c>
      <c r="BT35" s="281">
        <v>2500</v>
      </c>
      <c r="BU35" s="281">
        <v>14540</v>
      </c>
      <c r="BV35" s="281">
        <v>5725</v>
      </c>
      <c r="BW35" s="281">
        <v>310</v>
      </c>
      <c r="BX35" s="281">
        <v>20917</v>
      </c>
      <c r="BY35" s="283">
        <v>0</v>
      </c>
      <c r="BZ35" s="281">
        <v>13659</v>
      </c>
      <c r="CA35" s="283">
        <v>0</v>
      </c>
      <c r="CB35" s="283">
        <v>0</v>
      </c>
      <c r="CC35" s="281">
        <v>1022</v>
      </c>
      <c r="CD35" s="281">
        <v>500</v>
      </c>
      <c r="CE35" s="281">
        <v>300</v>
      </c>
      <c r="CF35" s="281">
        <v>3</v>
      </c>
      <c r="CG35" s="281">
        <v>690</v>
      </c>
      <c r="CH35" s="281">
        <v>36</v>
      </c>
      <c r="CI35" s="281">
        <v>45658</v>
      </c>
      <c r="CJ35" s="281">
        <v>325</v>
      </c>
      <c r="CK35" s="281">
        <v>10109</v>
      </c>
      <c r="CL35" s="281">
        <v>200</v>
      </c>
      <c r="CM35" s="281">
        <v>556</v>
      </c>
      <c r="CN35" s="281">
        <v>1840</v>
      </c>
      <c r="CO35" s="281">
        <v>275</v>
      </c>
      <c r="CP35" s="281">
        <v>135</v>
      </c>
      <c r="CQ35" s="281">
        <v>596</v>
      </c>
      <c r="CR35" s="281">
        <v>351</v>
      </c>
      <c r="CS35" s="281">
        <v>30</v>
      </c>
      <c r="CT35" s="281">
        <v>319</v>
      </c>
      <c r="CU35" s="283">
        <v>0</v>
      </c>
      <c r="CV35" s="283">
        <v>0</v>
      </c>
      <c r="CW35" s="281">
        <v>4</v>
      </c>
      <c r="CX35" s="281">
        <v>280416</v>
      </c>
      <c r="DB35" s="19"/>
      <c r="DF35" s="19"/>
      <c r="DH35" s="19"/>
    </row>
    <row r="36" spans="1:112" ht="17.5" x14ac:dyDescent="0.45">
      <c r="A36" s="270" t="s">
        <v>70</v>
      </c>
      <c r="B36" s="284">
        <v>0</v>
      </c>
      <c r="C36" s="281">
        <v>75</v>
      </c>
      <c r="D36" s="281">
        <v>1396</v>
      </c>
      <c r="E36" s="281">
        <v>24</v>
      </c>
      <c r="F36" s="281">
        <v>2278</v>
      </c>
      <c r="G36" s="281">
        <v>248</v>
      </c>
      <c r="H36" s="281">
        <v>419</v>
      </c>
      <c r="I36" s="281">
        <v>287</v>
      </c>
      <c r="J36" s="281">
        <v>100</v>
      </c>
      <c r="K36" s="281">
        <v>216</v>
      </c>
      <c r="L36" s="281">
        <v>120</v>
      </c>
      <c r="M36" s="281">
        <v>48</v>
      </c>
      <c r="N36" s="281">
        <v>670</v>
      </c>
      <c r="O36" s="284">
        <v>0</v>
      </c>
      <c r="P36" s="281">
        <v>104</v>
      </c>
      <c r="Q36" s="284">
        <v>0</v>
      </c>
      <c r="R36" s="284">
        <v>0</v>
      </c>
      <c r="S36" s="284">
        <v>0</v>
      </c>
      <c r="T36" s="284">
        <v>0</v>
      </c>
      <c r="U36" s="281">
        <v>196</v>
      </c>
      <c r="V36" s="281">
        <v>487</v>
      </c>
      <c r="W36" s="281">
        <v>131</v>
      </c>
      <c r="X36" s="281">
        <v>11</v>
      </c>
      <c r="Y36" s="281">
        <v>4886</v>
      </c>
      <c r="Z36" s="284">
        <v>0</v>
      </c>
      <c r="AA36" s="281">
        <v>50</v>
      </c>
      <c r="AB36" s="281">
        <v>90</v>
      </c>
      <c r="AC36" s="281">
        <v>675</v>
      </c>
      <c r="AD36" s="281">
        <v>94275</v>
      </c>
      <c r="AE36" s="281">
        <v>214</v>
      </c>
      <c r="AF36" s="281">
        <v>874</v>
      </c>
      <c r="AG36" s="281">
        <v>30</v>
      </c>
      <c r="AH36" s="288">
        <v>14</v>
      </c>
      <c r="AI36" s="287">
        <v>0</v>
      </c>
      <c r="AJ36" s="281">
        <v>46</v>
      </c>
      <c r="AK36" s="281">
        <v>1578</v>
      </c>
      <c r="AL36" s="283">
        <v>0</v>
      </c>
      <c r="AM36" s="281">
        <v>39</v>
      </c>
      <c r="AN36" s="281">
        <v>186</v>
      </c>
      <c r="AO36" s="283">
        <v>0</v>
      </c>
      <c r="AP36" s="282">
        <v>0</v>
      </c>
      <c r="AQ36" s="281">
        <v>90</v>
      </c>
      <c r="AR36" s="281">
        <v>1063</v>
      </c>
      <c r="AS36" s="281">
        <v>20</v>
      </c>
      <c r="AT36" s="281">
        <v>188</v>
      </c>
      <c r="AU36" s="284">
        <v>0</v>
      </c>
      <c r="AV36" s="281">
        <v>78</v>
      </c>
      <c r="AW36" s="281">
        <v>99</v>
      </c>
      <c r="AX36" s="281">
        <v>30</v>
      </c>
      <c r="AY36" s="281">
        <v>47</v>
      </c>
      <c r="AZ36" s="281">
        <v>555</v>
      </c>
      <c r="BA36" s="281">
        <v>198</v>
      </c>
      <c r="BB36" s="281">
        <v>336</v>
      </c>
      <c r="BC36" s="281">
        <v>5000</v>
      </c>
      <c r="BD36" s="281">
        <v>30</v>
      </c>
      <c r="BE36" s="281">
        <v>9490</v>
      </c>
      <c r="BF36" s="283">
        <v>0</v>
      </c>
      <c r="BG36" s="302">
        <v>140</v>
      </c>
      <c r="BH36" s="283">
        <v>0</v>
      </c>
      <c r="BI36" s="281">
        <v>87</v>
      </c>
      <c r="BJ36" s="281">
        <v>11707</v>
      </c>
      <c r="BK36" s="281">
        <v>98</v>
      </c>
      <c r="BL36" s="281">
        <v>242</v>
      </c>
      <c r="BM36" s="281">
        <v>410</v>
      </c>
      <c r="BN36" s="281">
        <v>1454</v>
      </c>
      <c r="BO36" s="281">
        <v>1420</v>
      </c>
      <c r="BP36" s="281">
        <v>976</v>
      </c>
      <c r="BQ36" s="281">
        <v>2873</v>
      </c>
      <c r="BR36" s="281">
        <v>1806</v>
      </c>
      <c r="BS36" s="283">
        <v>0</v>
      </c>
      <c r="BT36" s="281">
        <v>2500</v>
      </c>
      <c r="BU36" s="281">
        <v>14428</v>
      </c>
      <c r="BV36" s="281">
        <v>4500</v>
      </c>
      <c r="BW36" s="281">
        <v>260</v>
      </c>
      <c r="BX36" s="281">
        <v>24078</v>
      </c>
      <c r="BY36" s="283">
        <v>0</v>
      </c>
      <c r="BZ36" s="281">
        <v>15000</v>
      </c>
      <c r="CA36" s="283">
        <v>0</v>
      </c>
      <c r="CB36" s="281">
        <v>124</v>
      </c>
      <c r="CC36" s="281">
        <v>691</v>
      </c>
      <c r="CD36" s="283">
        <v>0</v>
      </c>
      <c r="CE36" s="281">
        <v>300</v>
      </c>
      <c r="CF36" s="281">
        <v>3</v>
      </c>
      <c r="CG36" s="281">
        <v>417</v>
      </c>
      <c r="CH36" s="281">
        <v>37</v>
      </c>
      <c r="CI36" s="281">
        <v>61942</v>
      </c>
      <c r="CJ36" s="281">
        <v>325</v>
      </c>
      <c r="CK36" s="281">
        <v>3476</v>
      </c>
      <c r="CL36" s="281">
        <v>200</v>
      </c>
      <c r="CM36" s="281">
        <v>642</v>
      </c>
      <c r="CN36" s="281">
        <v>1526</v>
      </c>
      <c r="CO36" s="281">
        <v>275</v>
      </c>
      <c r="CP36" s="281">
        <v>135</v>
      </c>
      <c r="CQ36" s="281">
        <v>254</v>
      </c>
      <c r="CR36" s="281">
        <v>124</v>
      </c>
      <c r="CS36" s="281">
        <v>55</v>
      </c>
      <c r="CT36" s="281">
        <v>79</v>
      </c>
      <c r="CU36" s="283">
        <v>0</v>
      </c>
      <c r="CV36" s="283">
        <v>0</v>
      </c>
      <c r="CW36" s="281">
        <v>4</v>
      </c>
      <c r="CX36" s="281">
        <v>279579</v>
      </c>
      <c r="DB36" s="19"/>
      <c r="DF36" s="19"/>
      <c r="DH36" s="19"/>
    </row>
    <row r="37" spans="1:112" ht="17.5" x14ac:dyDescent="0.45">
      <c r="A37" s="269" t="s">
        <v>71</v>
      </c>
      <c r="B37" s="284">
        <v>0</v>
      </c>
      <c r="C37" s="281">
        <v>75</v>
      </c>
      <c r="D37" s="281">
        <v>1532</v>
      </c>
      <c r="E37" s="281">
        <v>24</v>
      </c>
      <c r="F37" s="281">
        <v>1874</v>
      </c>
      <c r="G37" s="281">
        <v>252</v>
      </c>
      <c r="H37" s="281">
        <v>411</v>
      </c>
      <c r="I37" s="281">
        <v>24</v>
      </c>
      <c r="J37" s="281">
        <v>100</v>
      </c>
      <c r="K37" s="281">
        <v>489</v>
      </c>
      <c r="L37" s="281">
        <v>120</v>
      </c>
      <c r="M37" s="281">
        <v>48</v>
      </c>
      <c r="N37" s="281">
        <v>958</v>
      </c>
      <c r="O37" s="284">
        <v>0</v>
      </c>
      <c r="P37" s="281">
        <v>102</v>
      </c>
      <c r="Q37" s="284">
        <v>0</v>
      </c>
      <c r="R37" s="284">
        <v>0</v>
      </c>
      <c r="S37" s="284">
        <v>0</v>
      </c>
      <c r="T37" s="284">
        <v>0</v>
      </c>
      <c r="U37" s="281">
        <v>249</v>
      </c>
      <c r="V37" s="281">
        <v>72</v>
      </c>
      <c r="W37" s="281">
        <v>131</v>
      </c>
      <c r="X37" s="284">
        <v>0</v>
      </c>
      <c r="Y37" s="281">
        <v>5385</v>
      </c>
      <c r="Z37" s="284">
        <v>0</v>
      </c>
      <c r="AA37" s="281">
        <v>50</v>
      </c>
      <c r="AB37" s="281">
        <v>0</v>
      </c>
      <c r="AC37" s="281">
        <v>675</v>
      </c>
      <c r="AD37" s="281">
        <v>79778</v>
      </c>
      <c r="AE37" s="281">
        <v>296</v>
      </c>
      <c r="AF37" s="281">
        <v>691</v>
      </c>
      <c r="AG37" s="281">
        <v>30</v>
      </c>
      <c r="AH37" s="287">
        <v>0</v>
      </c>
      <c r="AI37" s="281">
        <v>85</v>
      </c>
      <c r="AJ37" s="287">
        <v>0</v>
      </c>
      <c r="AK37" s="281">
        <v>443</v>
      </c>
      <c r="AL37" s="283">
        <v>0</v>
      </c>
      <c r="AM37" s="281">
        <v>39</v>
      </c>
      <c r="AN37" s="281">
        <v>307</v>
      </c>
      <c r="AO37" s="283">
        <v>0</v>
      </c>
      <c r="AP37" s="282">
        <v>0</v>
      </c>
      <c r="AQ37" s="281">
        <v>90</v>
      </c>
      <c r="AR37" s="281">
        <v>501</v>
      </c>
      <c r="AS37" s="281">
        <v>20</v>
      </c>
      <c r="AT37" s="281">
        <v>225</v>
      </c>
      <c r="AU37" s="284">
        <v>0</v>
      </c>
      <c r="AV37" s="281">
        <v>78</v>
      </c>
      <c r="AW37" s="281">
        <v>99</v>
      </c>
      <c r="AX37" s="283">
        <v>0</v>
      </c>
      <c r="AY37" s="281">
        <v>47</v>
      </c>
      <c r="AZ37" s="281">
        <v>596</v>
      </c>
      <c r="BA37" s="281">
        <v>338</v>
      </c>
      <c r="BB37" s="281">
        <v>433</v>
      </c>
      <c r="BC37" s="281">
        <v>5000</v>
      </c>
      <c r="BD37" s="281">
        <v>8</v>
      </c>
      <c r="BE37" s="281">
        <v>10463</v>
      </c>
      <c r="BF37" s="283">
        <v>0</v>
      </c>
      <c r="BG37" s="282">
        <v>0</v>
      </c>
      <c r="BH37" s="283">
        <v>0</v>
      </c>
      <c r="BI37" s="281">
        <v>87</v>
      </c>
      <c r="BJ37" s="281">
        <v>14038</v>
      </c>
      <c r="BK37" s="281">
        <v>98</v>
      </c>
      <c r="BL37" s="281">
        <v>244</v>
      </c>
      <c r="BM37" s="281">
        <v>410</v>
      </c>
      <c r="BN37" s="281">
        <v>1918</v>
      </c>
      <c r="BO37" s="281">
        <v>1149</v>
      </c>
      <c r="BP37" s="281">
        <v>976</v>
      </c>
      <c r="BQ37" s="281">
        <v>1273</v>
      </c>
      <c r="BR37" s="281">
        <v>2000</v>
      </c>
      <c r="BS37" s="283">
        <v>0</v>
      </c>
      <c r="BT37" s="281">
        <v>2500</v>
      </c>
      <c r="BU37" s="281">
        <v>12485</v>
      </c>
      <c r="BV37" s="281">
        <v>3372</v>
      </c>
      <c r="BW37" s="281">
        <v>310</v>
      </c>
      <c r="BX37" s="281">
        <v>13865</v>
      </c>
      <c r="BY37" s="283">
        <v>0</v>
      </c>
      <c r="BZ37" s="281">
        <v>10639</v>
      </c>
      <c r="CA37" s="283">
        <v>0</v>
      </c>
      <c r="CB37" s="283">
        <v>0</v>
      </c>
      <c r="CC37" s="281">
        <v>366</v>
      </c>
      <c r="CD37" s="281">
        <v>536</v>
      </c>
      <c r="CE37" s="281">
        <v>300</v>
      </c>
      <c r="CF37" s="281">
        <v>3</v>
      </c>
      <c r="CG37" s="281">
        <v>826</v>
      </c>
      <c r="CH37" s="281">
        <v>37</v>
      </c>
      <c r="CI37" s="281">
        <v>56500</v>
      </c>
      <c r="CJ37" s="281">
        <v>325</v>
      </c>
      <c r="CK37" s="281">
        <v>12139</v>
      </c>
      <c r="CL37" s="281">
        <v>200</v>
      </c>
      <c r="CM37" s="281">
        <v>628</v>
      </c>
      <c r="CN37" s="281">
        <v>1416</v>
      </c>
      <c r="CO37" s="281">
        <v>275</v>
      </c>
      <c r="CP37" s="281">
        <v>135</v>
      </c>
      <c r="CQ37" s="281">
        <v>656</v>
      </c>
      <c r="CR37" s="281">
        <v>196</v>
      </c>
      <c r="CS37" s="281">
        <v>55</v>
      </c>
      <c r="CT37" s="281">
        <v>320</v>
      </c>
      <c r="CU37" s="283">
        <v>0</v>
      </c>
      <c r="CV37" s="283">
        <v>0</v>
      </c>
      <c r="CW37" s="281">
        <v>4</v>
      </c>
      <c r="CX37" s="281">
        <v>252419</v>
      </c>
      <c r="DB37" s="19"/>
      <c r="DF37" s="19"/>
      <c r="DH37" s="19"/>
    </row>
    <row r="38" spans="1:112" ht="17.5" x14ac:dyDescent="0.45">
      <c r="A38" s="269" t="s">
        <v>72</v>
      </c>
      <c r="B38" s="284">
        <v>0</v>
      </c>
      <c r="C38" s="281">
        <v>75</v>
      </c>
      <c r="D38" s="281">
        <v>427</v>
      </c>
      <c r="E38" s="283">
        <v>0</v>
      </c>
      <c r="F38" s="281">
        <v>2015</v>
      </c>
      <c r="G38" s="281">
        <v>244</v>
      </c>
      <c r="H38" s="281">
        <v>419</v>
      </c>
      <c r="I38" s="281">
        <v>193</v>
      </c>
      <c r="J38" s="281">
        <v>100</v>
      </c>
      <c r="K38" s="281">
        <v>804</v>
      </c>
      <c r="L38" s="281">
        <v>135</v>
      </c>
      <c r="M38" s="281">
        <v>48</v>
      </c>
      <c r="N38" s="281">
        <v>384</v>
      </c>
      <c r="O38" s="284">
        <v>0</v>
      </c>
      <c r="P38" s="281">
        <v>103</v>
      </c>
      <c r="Q38" s="284">
        <v>0</v>
      </c>
      <c r="R38" s="284">
        <v>0</v>
      </c>
      <c r="S38" s="284">
        <v>0</v>
      </c>
      <c r="T38" s="284">
        <v>0</v>
      </c>
      <c r="U38" s="281">
        <v>340</v>
      </c>
      <c r="V38" s="281">
        <v>603</v>
      </c>
      <c r="W38" s="281">
        <v>131</v>
      </c>
      <c r="X38" s="284">
        <v>0</v>
      </c>
      <c r="Y38" s="281">
        <v>4871</v>
      </c>
      <c r="Z38" s="284">
        <v>0</v>
      </c>
      <c r="AA38" s="281">
        <v>50</v>
      </c>
      <c r="AB38" s="281">
        <v>77</v>
      </c>
      <c r="AC38" s="281">
        <v>675</v>
      </c>
      <c r="AD38" s="281">
        <v>90271</v>
      </c>
      <c r="AE38" s="281">
        <v>0</v>
      </c>
      <c r="AF38" s="281">
        <v>973</v>
      </c>
      <c r="AG38" s="281">
        <v>30</v>
      </c>
      <c r="AH38" s="288">
        <v>28</v>
      </c>
      <c r="AI38" s="287">
        <v>0</v>
      </c>
      <c r="AJ38" s="281">
        <v>61</v>
      </c>
      <c r="AK38" s="281">
        <v>1392</v>
      </c>
      <c r="AL38" s="283">
        <v>0</v>
      </c>
      <c r="AM38" s="281">
        <v>40</v>
      </c>
      <c r="AN38" s="281">
        <v>171</v>
      </c>
      <c r="AO38" s="283">
        <v>0</v>
      </c>
      <c r="AP38" s="282">
        <v>0</v>
      </c>
      <c r="AQ38" s="283">
        <v>0</v>
      </c>
      <c r="AR38" s="281">
        <v>723</v>
      </c>
      <c r="AS38" s="283">
        <v>0</v>
      </c>
      <c r="AT38" s="281">
        <v>225</v>
      </c>
      <c r="AU38" s="284">
        <v>0</v>
      </c>
      <c r="AV38" s="281">
        <v>78</v>
      </c>
      <c r="AW38" s="283">
        <v>0</v>
      </c>
      <c r="AX38" s="283">
        <v>0</v>
      </c>
      <c r="AY38" s="281">
        <v>47</v>
      </c>
      <c r="AZ38" s="281">
        <v>445</v>
      </c>
      <c r="BA38" s="281">
        <v>440</v>
      </c>
      <c r="BB38" s="281">
        <v>501</v>
      </c>
      <c r="BC38" s="281">
        <v>4500</v>
      </c>
      <c r="BD38" s="281">
        <v>17</v>
      </c>
      <c r="BE38" s="281">
        <v>10000</v>
      </c>
      <c r="BF38" s="283">
        <v>0</v>
      </c>
      <c r="BG38" s="282">
        <v>0</v>
      </c>
      <c r="BH38" s="283">
        <v>0</v>
      </c>
      <c r="BI38" s="281">
        <v>87</v>
      </c>
      <c r="BJ38" s="281">
        <v>21775</v>
      </c>
      <c r="BK38" s="281">
        <v>98</v>
      </c>
      <c r="BL38" s="281">
        <v>238</v>
      </c>
      <c r="BM38" s="281">
        <v>410</v>
      </c>
      <c r="BN38" s="281">
        <v>1211</v>
      </c>
      <c r="BO38" s="281">
        <v>996</v>
      </c>
      <c r="BP38" s="281">
        <v>976</v>
      </c>
      <c r="BQ38" s="281">
        <v>1386</v>
      </c>
      <c r="BR38" s="281">
        <v>1744</v>
      </c>
      <c r="BS38" s="283">
        <v>0</v>
      </c>
      <c r="BT38" s="281">
        <v>2500</v>
      </c>
      <c r="BU38" s="281">
        <v>13000</v>
      </c>
      <c r="BV38" s="281">
        <v>3756</v>
      </c>
      <c r="BW38" s="281">
        <v>310</v>
      </c>
      <c r="BX38" s="281">
        <v>26677</v>
      </c>
      <c r="BY38" s="283">
        <v>0</v>
      </c>
      <c r="BZ38" s="281">
        <v>10659</v>
      </c>
      <c r="CA38" s="283">
        <v>0</v>
      </c>
      <c r="CB38" s="283">
        <v>0</v>
      </c>
      <c r="CC38" s="281">
        <v>1134</v>
      </c>
      <c r="CD38" s="281">
        <v>214</v>
      </c>
      <c r="CE38" s="281">
        <v>300</v>
      </c>
      <c r="CF38" s="281">
        <v>3</v>
      </c>
      <c r="CG38" s="281">
        <v>690</v>
      </c>
      <c r="CH38" s="283">
        <v>0</v>
      </c>
      <c r="CI38" s="281">
        <v>47314</v>
      </c>
      <c r="CJ38" s="287">
        <v>0</v>
      </c>
      <c r="CK38" s="281">
        <v>8785</v>
      </c>
      <c r="CL38" s="281">
        <v>200</v>
      </c>
      <c r="CM38" s="281">
        <v>767</v>
      </c>
      <c r="CN38" s="281">
        <v>1860</v>
      </c>
      <c r="CO38" s="281">
        <v>18</v>
      </c>
      <c r="CP38" s="283">
        <v>0</v>
      </c>
      <c r="CQ38" s="281">
        <v>501</v>
      </c>
      <c r="CR38" s="281">
        <v>212</v>
      </c>
      <c r="CS38" s="281">
        <v>55</v>
      </c>
      <c r="CT38" s="281">
        <v>320</v>
      </c>
      <c r="CU38" s="283">
        <v>0</v>
      </c>
      <c r="CV38" s="283">
        <v>0</v>
      </c>
      <c r="CW38" s="281">
        <v>4</v>
      </c>
      <c r="CX38" s="281">
        <v>269836</v>
      </c>
      <c r="DB38" s="19"/>
      <c r="DF38" s="19"/>
      <c r="DH38" s="19"/>
    </row>
    <row r="39" spans="1:112" ht="17.5" x14ac:dyDescent="0.45">
      <c r="A39" s="269" t="s">
        <v>73</v>
      </c>
      <c r="B39" s="284">
        <v>0</v>
      </c>
      <c r="C39" s="281">
        <v>75</v>
      </c>
      <c r="D39" s="281">
        <v>1298</v>
      </c>
      <c r="E39" s="281">
        <v>24</v>
      </c>
      <c r="F39" s="281">
        <v>3286</v>
      </c>
      <c r="G39" s="281">
        <v>252</v>
      </c>
      <c r="H39" s="281">
        <v>419</v>
      </c>
      <c r="I39" s="281">
        <v>96</v>
      </c>
      <c r="J39" s="281">
        <v>100</v>
      </c>
      <c r="K39" s="281">
        <v>255</v>
      </c>
      <c r="L39" s="281">
        <v>110</v>
      </c>
      <c r="M39" s="281">
        <v>49</v>
      </c>
      <c r="N39" s="281">
        <v>592</v>
      </c>
      <c r="O39" s="284">
        <v>0</v>
      </c>
      <c r="P39" s="281">
        <v>103</v>
      </c>
      <c r="Q39" s="284">
        <v>0</v>
      </c>
      <c r="R39" s="284">
        <v>0</v>
      </c>
      <c r="S39" s="284">
        <v>0</v>
      </c>
      <c r="T39" s="284">
        <v>0</v>
      </c>
      <c r="U39" s="281">
        <v>340</v>
      </c>
      <c r="V39" s="281">
        <v>739</v>
      </c>
      <c r="W39" s="281">
        <v>131</v>
      </c>
      <c r="X39" s="281">
        <v>10.56</v>
      </c>
      <c r="Y39" s="281">
        <v>4890</v>
      </c>
      <c r="Z39" s="284">
        <v>0</v>
      </c>
      <c r="AA39" s="281">
        <v>50</v>
      </c>
      <c r="AB39" s="281">
        <v>84</v>
      </c>
      <c r="AC39" s="281">
        <v>675</v>
      </c>
      <c r="AD39" s="281">
        <v>73298</v>
      </c>
      <c r="AE39" s="281">
        <v>186</v>
      </c>
      <c r="AF39" s="281">
        <v>820</v>
      </c>
      <c r="AG39" s="281">
        <v>30</v>
      </c>
      <c r="AH39" s="281">
        <v>14</v>
      </c>
      <c r="AI39" s="287">
        <v>0</v>
      </c>
      <c r="AJ39" s="281">
        <v>24</v>
      </c>
      <c r="AK39" s="281">
        <v>886</v>
      </c>
      <c r="AL39" s="283">
        <v>0</v>
      </c>
      <c r="AM39" s="281">
        <v>40</v>
      </c>
      <c r="AN39" s="281">
        <v>178</v>
      </c>
      <c r="AO39" s="283">
        <v>0</v>
      </c>
      <c r="AP39" s="282">
        <v>0</v>
      </c>
      <c r="AQ39" s="281">
        <v>90</v>
      </c>
      <c r="AR39" s="281">
        <v>793</v>
      </c>
      <c r="AS39" s="281">
        <v>20</v>
      </c>
      <c r="AT39" s="281">
        <v>225</v>
      </c>
      <c r="AU39" s="284">
        <v>0</v>
      </c>
      <c r="AV39" s="281">
        <v>78</v>
      </c>
      <c r="AW39" s="281">
        <v>99</v>
      </c>
      <c r="AX39" s="283">
        <v>0</v>
      </c>
      <c r="AY39" s="281">
        <v>47</v>
      </c>
      <c r="AZ39" s="281">
        <v>474</v>
      </c>
      <c r="BA39" s="281">
        <v>440</v>
      </c>
      <c r="BB39" s="281">
        <v>415</v>
      </c>
      <c r="BC39" s="281">
        <v>6000</v>
      </c>
      <c r="BD39" s="281">
        <v>30</v>
      </c>
      <c r="BE39" s="281">
        <v>10655</v>
      </c>
      <c r="BF39" s="283">
        <v>0</v>
      </c>
      <c r="BG39" s="282">
        <v>0</v>
      </c>
      <c r="BH39" s="283">
        <v>0</v>
      </c>
      <c r="BI39" s="281">
        <v>87</v>
      </c>
      <c r="BJ39" s="281">
        <v>19824</v>
      </c>
      <c r="BK39" s="281">
        <v>98</v>
      </c>
      <c r="BL39" s="281">
        <v>239</v>
      </c>
      <c r="BM39" s="281">
        <v>410</v>
      </c>
      <c r="BN39" s="281">
        <v>1631</v>
      </c>
      <c r="BO39" s="281">
        <v>1081</v>
      </c>
      <c r="BP39" s="281">
        <v>976</v>
      </c>
      <c r="BQ39" s="281">
        <v>859</v>
      </c>
      <c r="BR39" s="281">
        <v>2216</v>
      </c>
      <c r="BS39" s="283">
        <v>0</v>
      </c>
      <c r="BT39" s="281">
        <v>1501</v>
      </c>
      <c r="BU39" s="281">
        <v>11782</v>
      </c>
      <c r="BV39" s="281">
        <v>4201</v>
      </c>
      <c r="BW39" s="281">
        <v>310</v>
      </c>
      <c r="BX39" s="281">
        <v>31430</v>
      </c>
      <c r="BY39" s="283">
        <v>0</v>
      </c>
      <c r="BZ39" s="281">
        <v>11585</v>
      </c>
      <c r="CA39" s="283">
        <v>0</v>
      </c>
      <c r="CB39" s="283">
        <v>0</v>
      </c>
      <c r="CC39" s="281">
        <v>411</v>
      </c>
      <c r="CD39" s="281">
        <v>375</v>
      </c>
      <c r="CE39" s="281">
        <v>300</v>
      </c>
      <c r="CF39" s="281">
        <v>3</v>
      </c>
      <c r="CG39" s="281">
        <v>580</v>
      </c>
      <c r="CH39" s="283">
        <v>0</v>
      </c>
      <c r="CI39" s="281">
        <v>39373</v>
      </c>
      <c r="CJ39" s="281">
        <v>650</v>
      </c>
      <c r="CK39" s="281">
        <v>5348</v>
      </c>
      <c r="CL39" s="281">
        <v>200</v>
      </c>
      <c r="CM39" s="281">
        <v>754</v>
      </c>
      <c r="CN39" s="281">
        <v>2000</v>
      </c>
      <c r="CO39" s="281">
        <v>23</v>
      </c>
      <c r="CP39" s="281">
        <v>135</v>
      </c>
      <c r="CQ39" s="281">
        <v>47</v>
      </c>
      <c r="CR39" s="281">
        <v>212</v>
      </c>
      <c r="CS39" s="281">
        <v>55</v>
      </c>
      <c r="CT39" s="281">
        <v>320</v>
      </c>
      <c r="CU39" s="283">
        <v>0</v>
      </c>
      <c r="CV39" s="283">
        <v>0</v>
      </c>
      <c r="CW39" s="281">
        <v>4</v>
      </c>
      <c r="CX39" s="281">
        <v>247440.56</v>
      </c>
      <c r="DB39" s="19"/>
      <c r="DF39" s="19"/>
      <c r="DH39" s="19"/>
    </row>
    <row r="40" spans="1:112" ht="17.5" x14ac:dyDescent="0.45">
      <c r="A40" s="269" t="s">
        <v>74</v>
      </c>
      <c r="B40" s="284">
        <v>0</v>
      </c>
      <c r="C40" s="281">
        <v>47</v>
      </c>
      <c r="D40" s="281">
        <v>782</v>
      </c>
      <c r="E40" s="281">
        <v>18</v>
      </c>
      <c r="F40" s="281">
        <v>1329</v>
      </c>
      <c r="G40" s="281">
        <v>189</v>
      </c>
      <c r="H40" s="284">
        <v>0</v>
      </c>
      <c r="I40" s="281">
        <v>150</v>
      </c>
      <c r="J40" s="281">
        <v>75</v>
      </c>
      <c r="K40" s="281">
        <v>447</v>
      </c>
      <c r="L40" s="281">
        <v>101</v>
      </c>
      <c r="M40" s="284">
        <v>0</v>
      </c>
      <c r="N40" s="281">
        <v>584</v>
      </c>
      <c r="O40" s="284">
        <v>0</v>
      </c>
      <c r="P40" s="281">
        <v>50</v>
      </c>
      <c r="Q40" s="284">
        <v>0</v>
      </c>
      <c r="R40" s="281">
        <v>8</v>
      </c>
      <c r="S40" s="284">
        <v>0</v>
      </c>
      <c r="T40" s="284">
        <v>0</v>
      </c>
      <c r="U40" s="281">
        <v>17</v>
      </c>
      <c r="V40" s="281">
        <v>84</v>
      </c>
      <c r="W40" s="281">
        <v>112</v>
      </c>
      <c r="X40" s="284">
        <v>0</v>
      </c>
      <c r="Y40" s="284">
        <v>0</v>
      </c>
      <c r="Z40" s="281">
        <v>15</v>
      </c>
      <c r="AA40" s="281">
        <v>0</v>
      </c>
      <c r="AB40" s="281">
        <v>68</v>
      </c>
      <c r="AC40" s="281">
        <v>570</v>
      </c>
      <c r="AD40" s="281">
        <v>57636</v>
      </c>
      <c r="AE40" s="281">
        <v>130</v>
      </c>
      <c r="AF40" s="281">
        <v>290</v>
      </c>
      <c r="AG40" s="287">
        <v>0</v>
      </c>
      <c r="AH40" s="287">
        <v>0</v>
      </c>
      <c r="AI40" s="287">
        <v>0</v>
      </c>
      <c r="AJ40" s="287">
        <v>0</v>
      </c>
      <c r="AK40" s="281">
        <v>770</v>
      </c>
      <c r="AL40" s="283">
        <v>0</v>
      </c>
      <c r="AM40" s="281">
        <v>30</v>
      </c>
      <c r="AN40" s="281">
        <v>345</v>
      </c>
      <c r="AO40" s="283">
        <v>0</v>
      </c>
      <c r="AP40" s="282">
        <v>0</v>
      </c>
      <c r="AQ40" s="281">
        <v>68</v>
      </c>
      <c r="AR40" s="281">
        <v>311</v>
      </c>
      <c r="AS40" s="281">
        <v>15</v>
      </c>
      <c r="AT40" s="281">
        <v>388</v>
      </c>
      <c r="AU40" s="281">
        <v>5</v>
      </c>
      <c r="AV40" s="281">
        <v>78</v>
      </c>
      <c r="AW40" s="281">
        <v>90</v>
      </c>
      <c r="AX40" s="283">
        <v>0</v>
      </c>
      <c r="AY40" s="281">
        <v>16</v>
      </c>
      <c r="AZ40" s="281">
        <v>525</v>
      </c>
      <c r="BA40" s="281">
        <v>330</v>
      </c>
      <c r="BB40" s="281">
        <v>352</v>
      </c>
      <c r="BC40" s="283">
        <v>0</v>
      </c>
      <c r="BD40" s="283">
        <v>0</v>
      </c>
      <c r="BE40" s="281">
        <v>4043</v>
      </c>
      <c r="BF40" s="283">
        <v>0</v>
      </c>
      <c r="BG40" s="282">
        <v>0</v>
      </c>
      <c r="BH40" s="283">
        <v>0</v>
      </c>
      <c r="BI40" s="281">
        <v>87</v>
      </c>
      <c r="BJ40" s="281">
        <v>16603</v>
      </c>
      <c r="BK40" s="281">
        <v>74</v>
      </c>
      <c r="BL40" s="281">
        <v>129</v>
      </c>
      <c r="BM40" s="281">
        <v>308</v>
      </c>
      <c r="BN40" s="281">
        <v>612</v>
      </c>
      <c r="BO40" s="283">
        <v>0</v>
      </c>
      <c r="BP40" s="281">
        <v>646</v>
      </c>
      <c r="BQ40" s="281">
        <v>1362</v>
      </c>
      <c r="BR40" s="281">
        <v>100</v>
      </c>
      <c r="BS40" s="283">
        <v>0</v>
      </c>
      <c r="BT40" s="281">
        <v>2846</v>
      </c>
      <c r="BU40" s="281">
        <v>2789</v>
      </c>
      <c r="BV40" s="281">
        <v>40</v>
      </c>
      <c r="BW40" s="281">
        <v>233</v>
      </c>
      <c r="BX40" s="281">
        <v>4769</v>
      </c>
      <c r="BY40" s="283">
        <v>0</v>
      </c>
      <c r="BZ40" s="281">
        <v>4617</v>
      </c>
      <c r="CA40" s="283">
        <v>0</v>
      </c>
      <c r="CB40" s="283">
        <v>0</v>
      </c>
      <c r="CC40" s="281">
        <v>726</v>
      </c>
      <c r="CD40" s="281">
        <v>375</v>
      </c>
      <c r="CE40" s="283">
        <v>0</v>
      </c>
      <c r="CF40" s="281">
        <v>3</v>
      </c>
      <c r="CG40" s="283">
        <v>0</v>
      </c>
      <c r="CH40" s="283">
        <v>0</v>
      </c>
      <c r="CI40" s="281">
        <v>21026</v>
      </c>
      <c r="CJ40" s="281">
        <v>139</v>
      </c>
      <c r="CK40" s="281">
        <v>6726</v>
      </c>
      <c r="CL40" s="281">
        <v>94</v>
      </c>
      <c r="CM40" s="281">
        <v>713</v>
      </c>
      <c r="CN40" s="281">
        <v>107</v>
      </c>
      <c r="CO40" s="281">
        <v>23</v>
      </c>
      <c r="CP40" s="281">
        <v>33</v>
      </c>
      <c r="CQ40" s="281">
        <v>370</v>
      </c>
      <c r="CR40" s="281">
        <v>159</v>
      </c>
      <c r="CS40" s="281">
        <v>6</v>
      </c>
      <c r="CT40" s="281">
        <v>240</v>
      </c>
      <c r="CU40" s="283">
        <v>0</v>
      </c>
      <c r="CV40" s="281">
        <v>3</v>
      </c>
      <c r="CW40" s="281">
        <v>4</v>
      </c>
      <c r="CX40" s="281">
        <v>136030</v>
      </c>
      <c r="DB40" s="19"/>
      <c r="DF40" s="19"/>
      <c r="DH40" s="19"/>
    </row>
    <row r="41" spans="1:112" ht="17.5" x14ac:dyDescent="0.45">
      <c r="A41" s="269" t="s">
        <v>75</v>
      </c>
      <c r="B41" s="284">
        <v>0</v>
      </c>
      <c r="C41" s="281">
        <v>32</v>
      </c>
      <c r="D41" s="281">
        <v>241</v>
      </c>
      <c r="E41" s="281">
        <v>18</v>
      </c>
      <c r="F41" s="281">
        <v>1602</v>
      </c>
      <c r="G41" s="281">
        <v>197</v>
      </c>
      <c r="H41" s="281">
        <v>71</v>
      </c>
      <c r="I41" s="281">
        <v>56</v>
      </c>
      <c r="J41" s="281">
        <v>75</v>
      </c>
      <c r="K41" s="281">
        <v>563</v>
      </c>
      <c r="L41" s="281">
        <v>101</v>
      </c>
      <c r="M41" s="281">
        <v>34</v>
      </c>
      <c r="N41" s="284">
        <v>0</v>
      </c>
      <c r="O41" s="284">
        <v>0</v>
      </c>
      <c r="P41" s="281">
        <v>50</v>
      </c>
      <c r="Q41" s="284">
        <v>0</v>
      </c>
      <c r="R41" s="281">
        <v>8</v>
      </c>
      <c r="S41" s="284">
        <v>0</v>
      </c>
      <c r="T41" s="284">
        <v>0</v>
      </c>
      <c r="U41" s="281">
        <v>229</v>
      </c>
      <c r="V41" s="281">
        <v>292</v>
      </c>
      <c r="W41" s="281">
        <v>10</v>
      </c>
      <c r="X41" s="284">
        <v>0</v>
      </c>
      <c r="Y41" s="284">
        <v>0</v>
      </c>
      <c r="Z41" s="284">
        <v>0</v>
      </c>
      <c r="AA41" s="281">
        <v>38</v>
      </c>
      <c r="AB41" s="281">
        <v>68</v>
      </c>
      <c r="AC41" s="281">
        <v>570</v>
      </c>
      <c r="AD41" s="281">
        <v>60886</v>
      </c>
      <c r="AE41" s="281">
        <v>42</v>
      </c>
      <c r="AF41" s="281">
        <v>602</v>
      </c>
      <c r="AG41" s="287">
        <v>0</v>
      </c>
      <c r="AH41" s="281">
        <v>12</v>
      </c>
      <c r="AI41" s="287">
        <v>0</v>
      </c>
      <c r="AJ41" s="287">
        <v>0</v>
      </c>
      <c r="AK41" s="281">
        <v>513</v>
      </c>
      <c r="AL41" s="283">
        <v>0</v>
      </c>
      <c r="AM41" s="281">
        <v>30</v>
      </c>
      <c r="AN41" s="283">
        <v>0</v>
      </c>
      <c r="AO41" s="283">
        <v>0</v>
      </c>
      <c r="AP41" s="282">
        <v>0</v>
      </c>
      <c r="AQ41" s="281">
        <v>68</v>
      </c>
      <c r="AR41" s="283">
        <v>0</v>
      </c>
      <c r="AS41" s="281">
        <v>15</v>
      </c>
      <c r="AT41" s="281">
        <v>225</v>
      </c>
      <c r="AU41" s="284">
        <v>0</v>
      </c>
      <c r="AV41" s="281">
        <v>78</v>
      </c>
      <c r="AW41" s="281">
        <v>99</v>
      </c>
      <c r="AX41" s="283">
        <v>0</v>
      </c>
      <c r="AY41" s="281">
        <v>35</v>
      </c>
      <c r="AZ41" s="283">
        <v>0</v>
      </c>
      <c r="BA41" s="281">
        <v>330</v>
      </c>
      <c r="BB41" s="281">
        <v>301</v>
      </c>
      <c r="BC41" s="281">
        <v>1487</v>
      </c>
      <c r="BD41" s="283">
        <v>0</v>
      </c>
      <c r="BE41" s="281">
        <v>2229</v>
      </c>
      <c r="BF41" s="283">
        <v>0</v>
      </c>
      <c r="BG41" s="302">
        <v>280</v>
      </c>
      <c r="BH41" s="281">
        <v>63</v>
      </c>
      <c r="BI41" s="281">
        <v>87</v>
      </c>
      <c r="BJ41" s="281">
        <v>16034</v>
      </c>
      <c r="BK41" s="281">
        <v>74</v>
      </c>
      <c r="BL41" s="283">
        <v>0</v>
      </c>
      <c r="BM41" s="281">
        <v>308</v>
      </c>
      <c r="BN41" s="281">
        <v>1220</v>
      </c>
      <c r="BO41" s="283">
        <v>0</v>
      </c>
      <c r="BP41" s="281">
        <v>805</v>
      </c>
      <c r="BQ41" s="281">
        <v>1612</v>
      </c>
      <c r="BR41" s="281">
        <v>2135</v>
      </c>
      <c r="BS41" s="283">
        <v>0</v>
      </c>
      <c r="BT41" s="281">
        <v>1489</v>
      </c>
      <c r="BU41" s="281">
        <v>6457</v>
      </c>
      <c r="BV41" s="283">
        <v>0</v>
      </c>
      <c r="BW41" s="283">
        <v>0</v>
      </c>
      <c r="BX41" s="281">
        <v>12525</v>
      </c>
      <c r="BY41" s="283">
        <v>0</v>
      </c>
      <c r="BZ41" s="281">
        <v>5044</v>
      </c>
      <c r="CA41" s="281">
        <v>39</v>
      </c>
      <c r="CB41" s="281">
        <v>200</v>
      </c>
      <c r="CC41" s="281">
        <v>24</v>
      </c>
      <c r="CD41" s="283">
        <v>0</v>
      </c>
      <c r="CE41" s="281">
        <v>110</v>
      </c>
      <c r="CF41" s="281">
        <v>3</v>
      </c>
      <c r="CG41" s="283">
        <v>0</v>
      </c>
      <c r="CH41" s="283">
        <v>0</v>
      </c>
      <c r="CI41" s="281">
        <v>19615</v>
      </c>
      <c r="CJ41" s="281">
        <v>238</v>
      </c>
      <c r="CK41" s="281">
        <v>5996</v>
      </c>
      <c r="CL41" s="281">
        <v>133</v>
      </c>
      <c r="CM41" s="283">
        <v>0</v>
      </c>
      <c r="CN41" s="281">
        <v>784</v>
      </c>
      <c r="CO41" s="281">
        <v>56</v>
      </c>
      <c r="CP41" s="281">
        <v>101</v>
      </c>
      <c r="CQ41" s="283">
        <v>0</v>
      </c>
      <c r="CR41" s="281">
        <v>85</v>
      </c>
      <c r="CS41" s="281">
        <v>16</v>
      </c>
      <c r="CT41" s="281">
        <v>240</v>
      </c>
      <c r="CU41" s="283">
        <v>0</v>
      </c>
      <c r="CV41" s="281">
        <v>3</v>
      </c>
      <c r="CW41" s="281">
        <v>4</v>
      </c>
      <c r="CX41" s="281">
        <v>146987</v>
      </c>
      <c r="DB41" s="19"/>
      <c r="DF41" s="19"/>
      <c r="DH41" s="19"/>
    </row>
    <row r="42" spans="1:112" ht="17.5" x14ac:dyDescent="0.45">
      <c r="A42" s="269" t="s">
        <v>76</v>
      </c>
      <c r="B42" s="284">
        <v>0</v>
      </c>
      <c r="C42" s="281">
        <v>75</v>
      </c>
      <c r="D42" s="281">
        <v>329</v>
      </c>
      <c r="E42" s="281">
        <v>24</v>
      </c>
      <c r="F42" s="281">
        <v>3179</v>
      </c>
      <c r="G42" s="281">
        <v>252</v>
      </c>
      <c r="H42" s="281">
        <v>419</v>
      </c>
      <c r="I42" s="281">
        <v>37</v>
      </c>
      <c r="J42" s="281">
        <v>100</v>
      </c>
      <c r="K42" s="281">
        <v>142</v>
      </c>
      <c r="L42" s="281">
        <v>112</v>
      </c>
      <c r="M42" s="281">
        <v>49</v>
      </c>
      <c r="N42" s="281">
        <v>287</v>
      </c>
      <c r="O42" s="284">
        <v>0</v>
      </c>
      <c r="P42" s="281">
        <v>102</v>
      </c>
      <c r="Q42" s="284">
        <v>0</v>
      </c>
      <c r="R42" s="281">
        <v>67</v>
      </c>
      <c r="S42" s="284">
        <v>0</v>
      </c>
      <c r="T42" s="284">
        <v>0</v>
      </c>
      <c r="U42" s="281">
        <v>225</v>
      </c>
      <c r="V42" s="281">
        <v>509</v>
      </c>
      <c r="W42" s="281">
        <v>181</v>
      </c>
      <c r="X42" s="284">
        <v>0</v>
      </c>
      <c r="Y42" s="284">
        <v>3131</v>
      </c>
      <c r="Z42" s="284">
        <v>0</v>
      </c>
      <c r="AA42" s="281">
        <v>50</v>
      </c>
      <c r="AB42" s="281">
        <v>84</v>
      </c>
      <c r="AC42" s="281">
        <v>213</v>
      </c>
      <c r="AD42" s="281">
        <v>65986</v>
      </c>
      <c r="AE42" s="281">
        <v>69</v>
      </c>
      <c r="AF42" s="281">
        <v>144</v>
      </c>
      <c r="AG42" s="287">
        <v>0</v>
      </c>
      <c r="AH42" s="281">
        <v>14</v>
      </c>
      <c r="AI42" s="287">
        <v>0</v>
      </c>
      <c r="AJ42" s="281">
        <v>57</v>
      </c>
      <c r="AK42" s="281">
        <v>527</v>
      </c>
      <c r="AL42" s="283">
        <v>0</v>
      </c>
      <c r="AM42" s="281">
        <v>39</v>
      </c>
      <c r="AN42" s="283">
        <v>0</v>
      </c>
      <c r="AO42" s="283">
        <v>0</v>
      </c>
      <c r="AP42" s="282">
        <v>0</v>
      </c>
      <c r="AQ42" s="283">
        <v>0</v>
      </c>
      <c r="AR42" s="284">
        <v>66</v>
      </c>
      <c r="AS42" s="281">
        <v>20</v>
      </c>
      <c r="AT42" s="281">
        <v>0</v>
      </c>
      <c r="AU42" s="284">
        <v>0</v>
      </c>
      <c r="AV42" s="281">
        <v>78</v>
      </c>
      <c r="AW42" s="281">
        <v>99</v>
      </c>
      <c r="AX42" s="283">
        <v>0</v>
      </c>
      <c r="AY42" s="281">
        <v>47</v>
      </c>
      <c r="AZ42" s="281">
        <v>298</v>
      </c>
      <c r="BA42" s="281">
        <v>425</v>
      </c>
      <c r="BB42" s="281">
        <v>254</v>
      </c>
      <c r="BC42" s="281">
        <v>6000</v>
      </c>
      <c r="BD42" s="281">
        <v>30</v>
      </c>
      <c r="BE42" s="281">
        <v>8563</v>
      </c>
      <c r="BF42" s="283">
        <v>0</v>
      </c>
      <c r="BG42" s="283">
        <v>0</v>
      </c>
      <c r="BH42" s="281">
        <v>85</v>
      </c>
      <c r="BI42" s="281">
        <v>87</v>
      </c>
      <c r="BJ42" s="281">
        <v>17348</v>
      </c>
      <c r="BK42" s="281">
        <v>98</v>
      </c>
      <c r="BL42" s="281">
        <v>100</v>
      </c>
      <c r="BM42" s="281">
        <v>410</v>
      </c>
      <c r="BN42" s="281">
        <v>1411</v>
      </c>
      <c r="BO42" s="281">
        <v>1060</v>
      </c>
      <c r="BP42" s="281">
        <v>989</v>
      </c>
      <c r="BQ42" s="281">
        <v>1578</v>
      </c>
      <c r="BR42" s="281">
        <v>981</v>
      </c>
      <c r="BS42" s="283">
        <v>0</v>
      </c>
      <c r="BT42" s="281">
        <v>1700</v>
      </c>
      <c r="BU42" s="281">
        <v>11968</v>
      </c>
      <c r="BV42" s="281">
        <v>1193</v>
      </c>
      <c r="BW42" s="283">
        <v>0</v>
      </c>
      <c r="BX42" s="281">
        <v>17364</v>
      </c>
      <c r="BY42" s="283">
        <v>0</v>
      </c>
      <c r="BZ42" s="281">
        <v>9638</v>
      </c>
      <c r="CA42" s="283">
        <v>0</v>
      </c>
      <c r="CB42" s="283">
        <v>0</v>
      </c>
      <c r="CC42" s="281">
        <v>434</v>
      </c>
      <c r="CD42" s="283">
        <v>0</v>
      </c>
      <c r="CE42" s="281">
        <v>115</v>
      </c>
      <c r="CF42" s="281">
        <v>3</v>
      </c>
      <c r="CG42" s="283">
        <v>0</v>
      </c>
      <c r="CH42" s="283">
        <v>0</v>
      </c>
      <c r="CI42" s="281">
        <v>26775</v>
      </c>
      <c r="CJ42" s="281">
        <v>325</v>
      </c>
      <c r="CK42" s="281">
        <v>6367</v>
      </c>
      <c r="CL42" s="281">
        <v>150</v>
      </c>
      <c r="CM42" s="284">
        <v>0</v>
      </c>
      <c r="CN42" s="281">
        <v>2000</v>
      </c>
      <c r="CO42" s="281">
        <v>275</v>
      </c>
      <c r="CP42" s="281">
        <v>127</v>
      </c>
      <c r="CQ42" s="283">
        <v>0</v>
      </c>
      <c r="CR42" s="281">
        <v>123</v>
      </c>
      <c r="CS42" s="281">
        <v>55</v>
      </c>
      <c r="CT42" s="281">
        <v>245</v>
      </c>
      <c r="CU42" s="283">
        <v>0</v>
      </c>
      <c r="CV42" s="283">
        <v>0</v>
      </c>
      <c r="CW42" s="281">
        <v>4</v>
      </c>
      <c r="CX42" s="281">
        <v>195291</v>
      </c>
      <c r="DB42" s="19"/>
      <c r="DF42" s="19"/>
      <c r="DH42" s="19"/>
    </row>
    <row r="43" spans="1:112" ht="17.5" x14ac:dyDescent="0.45">
      <c r="A43" s="269" t="s">
        <v>77</v>
      </c>
      <c r="B43" s="284">
        <v>0</v>
      </c>
      <c r="C43" s="281">
        <v>75</v>
      </c>
      <c r="D43" s="281">
        <v>841</v>
      </c>
      <c r="E43" s="281">
        <v>24</v>
      </c>
      <c r="F43" s="281">
        <v>1099</v>
      </c>
      <c r="G43" s="281">
        <v>256</v>
      </c>
      <c r="H43" s="281">
        <v>419</v>
      </c>
      <c r="I43" s="281">
        <v>120</v>
      </c>
      <c r="J43" s="281">
        <v>100</v>
      </c>
      <c r="K43" s="281">
        <v>393</v>
      </c>
      <c r="L43" s="281">
        <v>125</v>
      </c>
      <c r="M43" s="281">
        <v>49</v>
      </c>
      <c r="N43" s="281">
        <v>521</v>
      </c>
      <c r="O43" s="284">
        <v>0</v>
      </c>
      <c r="P43" s="281">
        <v>102</v>
      </c>
      <c r="Q43" s="284">
        <v>0</v>
      </c>
      <c r="R43" s="281">
        <v>67</v>
      </c>
      <c r="S43" s="284">
        <v>0</v>
      </c>
      <c r="T43" s="284">
        <v>0</v>
      </c>
      <c r="U43" s="281">
        <v>85</v>
      </c>
      <c r="V43" s="281">
        <v>328</v>
      </c>
      <c r="W43" s="281">
        <v>131</v>
      </c>
      <c r="X43" s="284">
        <v>0</v>
      </c>
      <c r="Y43" s="284">
        <v>3584</v>
      </c>
      <c r="Z43" s="284">
        <v>0</v>
      </c>
      <c r="AA43" s="281">
        <v>50</v>
      </c>
      <c r="AB43" s="281">
        <v>84</v>
      </c>
      <c r="AC43" s="281">
        <v>213</v>
      </c>
      <c r="AD43" s="281">
        <v>79069</v>
      </c>
      <c r="AE43" s="281">
        <v>88</v>
      </c>
      <c r="AF43" s="281">
        <v>1170</v>
      </c>
      <c r="AG43" s="287">
        <v>0</v>
      </c>
      <c r="AH43" s="281">
        <v>14</v>
      </c>
      <c r="AI43" s="287">
        <v>0</v>
      </c>
      <c r="AJ43" s="287">
        <v>0</v>
      </c>
      <c r="AK43" s="281">
        <v>777</v>
      </c>
      <c r="AL43" s="283">
        <v>0</v>
      </c>
      <c r="AM43" s="281">
        <v>40</v>
      </c>
      <c r="AN43" s="283">
        <v>0</v>
      </c>
      <c r="AO43" s="283">
        <v>0</v>
      </c>
      <c r="AP43" s="333">
        <v>0</v>
      </c>
      <c r="AQ43" s="283">
        <v>0</v>
      </c>
      <c r="AR43" s="284">
        <v>839</v>
      </c>
      <c r="AS43" s="281">
        <v>20</v>
      </c>
      <c r="AT43" s="281">
        <v>225</v>
      </c>
      <c r="AU43" s="284">
        <v>0</v>
      </c>
      <c r="AV43" s="281">
        <v>78</v>
      </c>
      <c r="AW43" s="281">
        <v>63</v>
      </c>
      <c r="AX43" s="283">
        <v>0</v>
      </c>
      <c r="AY43" s="281">
        <v>47</v>
      </c>
      <c r="AZ43" s="281">
        <v>597</v>
      </c>
      <c r="BA43" s="281">
        <v>425</v>
      </c>
      <c r="BB43" s="281">
        <v>366</v>
      </c>
      <c r="BC43" s="281">
        <v>4500</v>
      </c>
      <c r="BD43" s="281">
        <v>30</v>
      </c>
      <c r="BE43" s="281">
        <v>7750</v>
      </c>
      <c r="BF43" s="283">
        <v>0</v>
      </c>
      <c r="BG43" s="302">
        <v>140</v>
      </c>
      <c r="BH43" s="283">
        <v>0</v>
      </c>
      <c r="BI43" s="281">
        <v>69</v>
      </c>
      <c r="BJ43" s="281">
        <v>12327</v>
      </c>
      <c r="BK43" s="281">
        <v>98</v>
      </c>
      <c r="BL43" s="281">
        <v>396</v>
      </c>
      <c r="BM43" s="283">
        <v>0</v>
      </c>
      <c r="BN43" s="281">
        <v>1509</v>
      </c>
      <c r="BO43" s="281">
        <v>218</v>
      </c>
      <c r="BP43" s="281">
        <v>976</v>
      </c>
      <c r="BQ43" s="281">
        <v>1133</v>
      </c>
      <c r="BR43" s="281">
        <v>619</v>
      </c>
      <c r="BS43" s="283">
        <v>0</v>
      </c>
      <c r="BT43" s="281">
        <v>1616</v>
      </c>
      <c r="BU43" s="281">
        <v>14292</v>
      </c>
      <c r="BV43" s="281">
        <v>6280</v>
      </c>
      <c r="BW43" s="281">
        <v>310</v>
      </c>
      <c r="BX43" s="281">
        <v>26562</v>
      </c>
      <c r="BY43" s="283">
        <v>0</v>
      </c>
      <c r="BZ43" s="281">
        <v>10905</v>
      </c>
      <c r="CA43" s="283">
        <v>0</v>
      </c>
      <c r="CB43" s="283">
        <v>0</v>
      </c>
      <c r="CC43" s="281">
        <v>594</v>
      </c>
      <c r="CD43" s="281">
        <v>375</v>
      </c>
      <c r="CE43" s="281">
        <v>450</v>
      </c>
      <c r="CF43" s="281">
        <v>3</v>
      </c>
      <c r="CG43" s="281">
        <v>533</v>
      </c>
      <c r="CH43" s="284">
        <v>0</v>
      </c>
      <c r="CI43" s="281">
        <v>54756</v>
      </c>
      <c r="CJ43" s="281">
        <v>325</v>
      </c>
      <c r="CK43" s="281">
        <v>8123</v>
      </c>
      <c r="CL43" s="281">
        <v>114</v>
      </c>
      <c r="CM43" s="281">
        <v>750</v>
      </c>
      <c r="CN43" s="281">
        <v>1900</v>
      </c>
      <c r="CO43" s="284">
        <v>0</v>
      </c>
      <c r="CP43" s="281">
        <v>135</v>
      </c>
      <c r="CQ43" s="281">
        <v>498</v>
      </c>
      <c r="CR43" s="281">
        <v>76</v>
      </c>
      <c r="CS43" s="283">
        <v>0</v>
      </c>
      <c r="CT43" s="283">
        <v>0</v>
      </c>
      <c r="CU43" s="283">
        <v>0</v>
      </c>
      <c r="CV43" s="283">
        <v>0</v>
      </c>
      <c r="CW43" s="281">
        <v>4</v>
      </c>
      <c r="CX43" s="281">
        <v>250850</v>
      </c>
      <c r="DB43" s="19"/>
      <c r="DF43" s="19"/>
      <c r="DH43" s="19"/>
    </row>
    <row r="44" spans="1:112" ht="17.5" x14ac:dyDescent="0.45">
      <c r="A44" s="269" t="s">
        <v>78</v>
      </c>
      <c r="B44" s="284">
        <v>0</v>
      </c>
      <c r="C44" s="281">
        <v>0</v>
      </c>
      <c r="D44" s="281">
        <v>2295</v>
      </c>
      <c r="E44" s="281">
        <v>24</v>
      </c>
      <c r="F44" s="281">
        <v>3474</v>
      </c>
      <c r="G44" s="281">
        <v>252</v>
      </c>
      <c r="H44" s="281">
        <v>419</v>
      </c>
      <c r="I44" s="281">
        <v>143</v>
      </c>
      <c r="J44" s="281">
        <v>100</v>
      </c>
      <c r="K44" s="281">
        <v>895</v>
      </c>
      <c r="L44" s="281">
        <v>125</v>
      </c>
      <c r="M44" s="281">
        <v>48</v>
      </c>
      <c r="N44" s="281">
        <v>504</v>
      </c>
      <c r="O44" s="284">
        <v>0</v>
      </c>
      <c r="P44" s="281">
        <v>103</v>
      </c>
      <c r="Q44" s="284">
        <v>0</v>
      </c>
      <c r="R44" s="281">
        <v>67</v>
      </c>
      <c r="S44" s="284">
        <v>0</v>
      </c>
      <c r="T44" s="284">
        <v>0</v>
      </c>
      <c r="U44" s="281">
        <v>198</v>
      </c>
      <c r="V44" s="281">
        <v>515</v>
      </c>
      <c r="W44" s="281">
        <v>131</v>
      </c>
      <c r="X44" s="284">
        <v>0</v>
      </c>
      <c r="Y44" s="284">
        <v>3767</v>
      </c>
      <c r="Z44" s="284">
        <v>0</v>
      </c>
      <c r="AA44" s="281">
        <v>50</v>
      </c>
      <c r="AB44" s="281">
        <v>82</v>
      </c>
      <c r="AC44" s="281">
        <v>503</v>
      </c>
      <c r="AD44" s="281">
        <v>63664</v>
      </c>
      <c r="AE44" s="281">
        <v>158</v>
      </c>
      <c r="AF44" s="281">
        <v>597</v>
      </c>
      <c r="AG44" s="287">
        <v>0</v>
      </c>
      <c r="AH44" s="281">
        <v>14</v>
      </c>
      <c r="AI44" s="287">
        <v>0</v>
      </c>
      <c r="AJ44" s="330">
        <v>68</v>
      </c>
      <c r="AK44" s="281">
        <v>1243</v>
      </c>
      <c r="AL44" s="283">
        <v>0</v>
      </c>
      <c r="AM44" s="281">
        <v>40</v>
      </c>
      <c r="AN44" s="283">
        <v>0</v>
      </c>
      <c r="AO44" s="283">
        <v>0</v>
      </c>
      <c r="AP44" s="333">
        <v>0</v>
      </c>
      <c r="AQ44" s="284">
        <v>90</v>
      </c>
      <c r="AR44" s="284">
        <v>883</v>
      </c>
      <c r="AS44" s="281">
        <v>20</v>
      </c>
      <c r="AT44" s="281">
        <v>225</v>
      </c>
      <c r="AU44" s="284">
        <v>0</v>
      </c>
      <c r="AV44" s="281">
        <v>87</v>
      </c>
      <c r="AW44" s="281">
        <v>90</v>
      </c>
      <c r="AX44" s="283">
        <v>0</v>
      </c>
      <c r="AY44" s="281">
        <v>47</v>
      </c>
      <c r="AZ44" s="281">
        <v>619</v>
      </c>
      <c r="BA44" s="281">
        <v>425</v>
      </c>
      <c r="BB44" s="281">
        <v>703</v>
      </c>
      <c r="BC44" s="281">
        <v>4500</v>
      </c>
      <c r="BD44" s="281">
        <v>30</v>
      </c>
      <c r="BE44" s="281">
        <v>9163</v>
      </c>
      <c r="BF44" s="283">
        <v>0</v>
      </c>
      <c r="BG44" s="302">
        <v>0</v>
      </c>
      <c r="BH44" s="284">
        <v>8</v>
      </c>
      <c r="BI44" s="281">
        <v>69</v>
      </c>
      <c r="BJ44" s="281">
        <v>19929</v>
      </c>
      <c r="BK44" s="281">
        <v>98</v>
      </c>
      <c r="BL44" s="281">
        <v>289</v>
      </c>
      <c r="BM44" s="284">
        <v>410</v>
      </c>
      <c r="BN44" s="281">
        <v>1375</v>
      </c>
      <c r="BO44" s="281">
        <v>765</v>
      </c>
      <c r="BP44" s="281">
        <v>976</v>
      </c>
      <c r="BQ44" s="281">
        <v>1193</v>
      </c>
      <c r="BR44" s="281">
        <v>1800</v>
      </c>
      <c r="BS44" s="283">
        <v>0</v>
      </c>
      <c r="BT44" s="281">
        <v>2762</v>
      </c>
      <c r="BU44" s="281">
        <v>10927</v>
      </c>
      <c r="BV44" s="281">
        <v>2725</v>
      </c>
      <c r="BW44" s="281">
        <v>62</v>
      </c>
      <c r="BX44" s="281">
        <v>26132</v>
      </c>
      <c r="BY44" s="283">
        <v>0</v>
      </c>
      <c r="BZ44" s="281">
        <v>10617</v>
      </c>
      <c r="CA44" s="283">
        <v>0</v>
      </c>
      <c r="CB44" s="283">
        <v>0</v>
      </c>
      <c r="CC44" s="281">
        <v>943</v>
      </c>
      <c r="CD44" s="281">
        <v>472</v>
      </c>
      <c r="CE44" s="281">
        <v>300</v>
      </c>
      <c r="CF44" s="281">
        <v>3</v>
      </c>
      <c r="CG44" s="281">
        <v>533</v>
      </c>
      <c r="CH44" s="284">
        <v>0</v>
      </c>
      <c r="CI44" s="281">
        <v>27606</v>
      </c>
      <c r="CJ44" s="281">
        <v>325</v>
      </c>
      <c r="CK44" s="281">
        <v>8140</v>
      </c>
      <c r="CL44" s="281">
        <v>114</v>
      </c>
      <c r="CM44" s="281">
        <v>750</v>
      </c>
      <c r="CN44" s="281">
        <v>455</v>
      </c>
      <c r="CO44" s="284">
        <v>23</v>
      </c>
      <c r="CP44" s="281">
        <v>135</v>
      </c>
      <c r="CQ44" s="281">
        <v>310</v>
      </c>
      <c r="CR44" s="281">
        <v>119</v>
      </c>
      <c r="CS44" s="283">
        <v>0</v>
      </c>
      <c r="CT44" s="284">
        <v>320</v>
      </c>
      <c r="CU44" s="283">
        <v>0</v>
      </c>
      <c r="CV44" s="283">
        <v>0</v>
      </c>
      <c r="CW44" s="281">
        <v>4</v>
      </c>
      <c r="CX44" s="281">
        <v>217050</v>
      </c>
      <c r="DB44" s="19"/>
      <c r="DF44" s="19"/>
      <c r="DH44" s="19"/>
    </row>
    <row r="45" spans="1:112" ht="17.5" x14ac:dyDescent="0.45">
      <c r="A45" s="269" t="s">
        <v>79</v>
      </c>
      <c r="B45" s="284">
        <v>0</v>
      </c>
      <c r="C45" s="281">
        <v>0</v>
      </c>
      <c r="D45" s="281">
        <v>1215</v>
      </c>
      <c r="E45" s="281">
        <v>24</v>
      </c>
      <c r="F45" s="281">
        <v>2237</v>
      </c>
      <c r="G45" s="281">
        <v>177</v>
      </c>
      <c r="H45" s="281">
        <v>419</v>
      </c>
      <c r="I45" s="281">
        <v>350</v>
      </c>
      <c r="J45" s="281">
        <v>100</v>
      </c>
      <c r="K45" s="281">
        <v>413</v>
      </c>
      <c r="L45" s="281">
        <v>125</v>
      </c>
      <c r="M45" s="281">
        <v>48</v>
      </c>
      <c r="N45" s="281">
        <v>792</v>
      </c>
      <c r="O45" s="284">
        <v>0</v>
      </c>
      <c r="P45" s="281">
        <v>103</v>
      </c>
      <c r="Q45" s="284">
        <v>0</v>
      </c>
      <c r="R45" s="281">
        <v>67</v>
      </c>
      <c r="S45" s="284">
        <v>0</v>
      </c>
      <c r="T45" s="284">
        <v>0</v>
      </c>
      <c r="U45" s="281">
        <v>198</v>
      </c>
      <c r="V45" s="281">
        <v>379</v>
      </c>
      <c r="W45" s="281">
        <v>131</v>
      </c>
      <c r="X45" s="284">
        <v>0</v>
      </c>
      <c r="Y45" s="284">
        <v>4087</v>
      </c>
      <c r="Z45" s="284">
        <v>0</v>
      </c>
      <c r="AA45" s="281">
        <v>50</v>
      </c>
      <c r="AB45" s="281">
        <v>0</v>
      </c>
      <c r="AC45" s="281">
        <v>275</v>
      </c>
      <c r="AD45" s="281">
        <v>95306</v>
      </c>
      <c r="AE45" s="281">
        <v>158</v>
      </c>
      <c r="AF45" s="281">
        <v>1396</v>
      </c>
      <c r="AG45" s="287">
        <v>0</v>
      </c>
      <c r="AH45" s="281">
        <v>14</v>
      </c>
      <c r="AI45" s="287">
        <v>0</v>
      </c>
      <c r="AJ45" s="330">
        <v>60</v>
      </c>
      <c r="AK45" s="281">
        <v>1429</v>
      </c>
      <c r="AL45" s="283">
        <v>0</v>
      </c>
      <c r="AM45" s="281">
        <v>40</v>
      </c>
      <c r="AN45" s="284">
        <v>0</v>
      </c>
      <c r="AO45" s="283">
        <v>0</v>
      </c>
      <c r="AP45" s="333">
        <v>0</v>
      </c>
      <c r="AQ45" s="284">
        <v>90</v>
      </c>
      <c r="AR45" s="284">
        <v>395</v>
      </c>
      <c r="AS45" s="281">
        <v>20</v>
      </c>
      <c r="AT45" s="281">
        <v>225</v>
      </c>
      <c r="AU45" s="284">
        <v>0</v>
      </c>
      <c r="AV45" s="281">
        <v>87</v>
      </c>
      <c r="AW45" s="281">
        <v>90</v>
      </c>
      <c r="AX45" s="284">
        <v>0</v>
      </c>
      <c r="AY45" s="281">
        <v>47</v>
      </c>
      <c r="AZ45" s="281">
        <v>488</v>
      </c>
      <c r="BA45" s="281">
        <v>425</v>
      </c>
      <c r="BB45" s="281">
        <v>466</v>
      </c>
      <c r="BC45" s="281">
        <v>4500</v>
      </c>
      <c r="BD45" s="281">
        <v>30</v>
      </c>
      <c r="BE45" s="281">
        <v>7743</v>
      </c>
      <c r="BF45" s="283">
        <v>0</v>
      </c>
      <c r="BG45" s="302">
        <v>0</v>
      </c>
      <c r="BH45" s="284">
        <v>0</v>
      </c>
      <c r="BI45" s="281">
        <v>69</v>
      </c>
      <c r="BJ45" s="281">
        <v>12864</v>
      </c>
      <c r="BK45" s="281">
        <v>98</v>
      </c>
      <c r="BL45" s="281">
        <v>250</v>
      </c>
      <c r="BM45" s="284">
        <v>0</v>
      </c>
      <c r="BN45" s="281">
        <v>1554</v>
      </c>
      <c r="BO45" s="281">
        <v>2028</v>
      </c>
      <c r="BP45" s="281">
        <v>976</v>
      </c>
      <c r="BQ45" s="281">
        <v>1453</v>
      </c>
      <c r="BR45" s="281">
        <v>1200</v>
      </c>
      <c r="BS45" s="283">
        <v>0</v>
      </c>
      <c r="BT45" s="281">
        <v>2000</v>
      </c>
      <c r="BU45" s="281">
        <v>14923</v>
      </c>
      <c r="BV45" s="281">
        <v>6957</v>
      </c>
      <c r="BW45" s="281">
        <v>310</v>
      </c>
      <c r="BX45" s="281">
        <v>33000</v>
      </c>
      <c r="BY45" s="283">
        <v>0</v>
      </c>
      <c r="BZ45" s="281">
        <v>11888</v>
      </c>
      <c r="CA45" s="283">
        <v>0</v>
      </c>
      <c r="CB45" s="283">
        <v>0</v>
      </c>
      <c r="CC45" s="281">
        <v>463</v>
      </c>
      <c r="CD45" s="281">
        <v>278</v>
      </c>
      <c r="CE45" s="281">
        <v>300</v>
      </c>
      <c r="CF45" s="281">
        <v>3</v>
      </c>
      <c r="CG45" s="281">
        <v>533</v>
      </c>
      <c r="CH45" s="284">
        <v>0</v>
      </c>
      <c r="CI45" s="281">
        <v>63155</v>
      </c>
      <c r="CJ45" s="281">
        <v>325</v>
      </c>
      <c r="CK45" s="281">
        <v>7372</v>
      </c>
      <c r="CL45" s="281">
        <v>20</v>
      </c>
      <c r="CM45" s="281">
        <v>1383</v>
      </c>
      <c r="CN45" s="281">
        <v>3045</v>
      </c>
      <c r="CO45" s="284">
        <v>23</v>
      </c>
      <c r="CP45" s="281">
        <v>0</v>
      </c>
      <c r="CQ45" s="281">
        <v>404</v>
      </c>
      <c r="CR45" s="281">
        <v>159</v>
      </c>
      <c r="CS45" s="283">
        <v>0</v>
      </c>
      <c r="CT45" s="284">
        <v>47</v>
      </c>
      <c r="CU45" s="283">
        <v>0</v>
      </c>
      <c r="CV45" s="283">
        <v>0</v>
      </c>
      <c r="CW45" s="281">
        <v>4</v>
      </c>
      <c r="CX45" s="281">
        <v>291283</v>
      </c>
      <c r="DB45" s="19"/>
      <c r="DF45" s="19"/>
      <c r="DH45" s="19"/>
    </row>
    <row r="46" spans="1:112" ht="17.5" x14ac:dyDescent="0.45">
      <c r="A46" s="269" t="s">
        <v>80</v>
      </c>
      <c r="B46" s="284">
        <v>0</v>
      </c>
      <c r="C46" s="281">
        <v>0</v>
      </c>
      <c r="D46" s="281">
        <v>785</v>
      </c>
      <c r="E46" s="281">
        <v>24</v>
      </c>
      <c r="F46" s="281">
        <v>2889</v>
      </c>
      <c r="G46" s="281">
        <v>264</v>
      </c>
      <c r="H46" s="281">
        <v>413</v>
      </c>
      <c r="I46" s="281">
        <v>0</v>
      </c>
      <c r="J46" s="281">
        <v>100</v>
      </c>
      <c r="K46" s="281">
        <v>477</v>
      </c>
      <c r="L46" s="281">
        <v>110</v>
      </c>
      <c r="M46" s="281">
        <v>48</v>
      </c>
      <c r="N46" s="281">
        <v>288</v>
      </c>
      <c r="O46" s="284">
        <v>0</v>
      </c>
      <c r="P46" s="281">
        <v>103</v>
      </c>
      <c r="Q46" s="284">
        <v>0</v>
      </c>
      <c r="R46" s="281">
        <v>67</v>
      </c>
      <c r="S46" s="284">
        <v>0</v>
      </c>
      <c r="T46" s="284">
        <v>0</v>
      </c>
      <c r="U46" s="281">
        <v>198</v>
      </c>
      <c r="V46" s="281">
        <v>587</v>
      </c>
      <c r="W46" s="281">
        <v>131</v>
      </c>
      <c r="X46" s="284">
        <v>0</v>
      </c>
      <c r="Y46" s="284">
        <v>4166</v>
      </c>
      <c r="Z46" s="284">
        <v>0</v>
      </c>
      <c r="AA46" s="281">
        <v>37</v>
      </c>
      <c r="AB46" s="281">
        <v>68</v>
      </c>
      <c r="AC46" s="281">
        <v>275</v>
      </c>
      <c r="AD46" s="281">
        <v>55859</v>
      </c>
      <c r="AE46" s="281">
        <v>158</v>
      </c>
      <c r="AF46" s="281">
        <v>356</v>
      </c>
      <c r="AG46" s="287">
        <v>0</v>
      </c>
      <c r="AH46" s="281">
        <v>14</v>
      </c>
      <c r="AI46" s="287">
        <v>0</v>
      </c>
      <c r="AJ46" s="330">
        <v>57</v>
      </c>
      <c r="AK46" s="281">
        <v>602</v>
      </c>
      <c r="AL46" s="283">
        <v>0</v>
      </c>
      <c r="AM46" s="281">
        <v>40</v>
      </c>
      <c r="AN46" s="284">
        <v>178</v>
      </c>
      <c r="AO46" s="283">
        <v>0</v>
      </c>
      <c r="AP46" s="333">
        <v>0</v>
      </c>
      <c r="AQ46" s="284">
        <v>90</v>
      </c>
      <c r="AR46" s="284">
        <v>700</v>
      </c>
      <c r="AS46" s="281">
        <v>20</v>
      </c>
      <c r="AT46" s="281">
        <v>525</v>
      </c>
      <c r="AU46" s="284">
        <v>0</v>
      </c>
      <c r="AV46" s="281">
        <v>87</v>
      </c>
      <c r="AW46" s="281">
        <v>90</v>
      </c>
      <c r="AX46" s="284">
        <v>0</v>
      </c>
      <c r="AY46" s="281">
        <v>47</v>
      </c>
      <c r="AZ46" s="281">
        <v>558</v>
      </c>
      <c r="BA46" s="281">
        <v>423</v>
      </c>
      <c r="BB46" s="281">
        <v>528</v>
      </c>
      <c r="BC46" s="281">
        <v>6000</v>
      </c>
      <c r="BD46" s="281">
        <v>30</v>
      </c>
      <c r="BE46" s="281">
        <v>10044</v>
      </c>
      <c r="BF46" s="284">
        <v>0</v>
      </c>
      <c r="BG46" s="302">
        <v>0</v>
      </c>
      <c r="BH46" s="284">
        <v>0</v>
      </c>
      <c r="BI46" s="281">
        <v>87</v>
      </c>
      <c r="BJ46" s="281">
        <v>26380</v>
      </c>
      <c r="BK46" s="281">
        <v>98</v>
      </c>
      <c r="BL46" s="281">
        <v>75</v>
      </c>
      <c r="BM46" s="284">
        <v>410</v>
      </c>
      <c r="BN46" s="281">
        <v>886</v>
      </c>
      <c r="BO46" s="281">
        <v>645</v>
      </c>
      <c r="BP46" s="281">
        <v>976</v>
      </c>
      <c r="BQ46" s="281">
        <v>1875</v>
      </c>
      <c r="BR46" s="281">
        <v>3000</v>
      </c>
      <c r="BS46" s="284">
        <v>0</v>
      </c>
      <c r="BT46" s="281">
        <v>2463</v>
      </c>
      <c r="BU46" s="281">
        <v>11031</v>
      </c>
      <c r="BV46" s="281">
        <v>3773</v>
      </c>
      <c r="BW46" s="281">
        <v>310</v>
      </c>
      <c r="BX46" s="281">
        <v>30906</v>
      </c>
      <c r="BY46" s="284">
        <v>0</v>
      </c>
      <c r="BZ46" s="281">
        <v>10550</v>
      </c>
      <c r="CA46" s="284">
        <v>0</v>
      </c>
      <c r="CB46" s="283">
        <v>0</v>
      </c>
      <c r="CC46" s="281">
        <v>836</v>
      </c>
      <c r="CD46" s="281">
        <v>875</v>
      </c>
      <c r="CE46" s="281">
        <v>300</v>
      </c>
      <c r="CF46" s="281">
        <v>3</v>
      </c>
      <c r="CG46" s="281">
        <v>634</v>
      </c>
      <c r="CH46" s="284">
        <v>0</v>
      </c>
      <c r="CI46" s="281">
        <v>27414</v>
      </c>
      <c r="CJ46" s="281">
        <v>244</v>
      </c>
      <c r="CK46" s="281">
        <v>9038</v>
      </c>
      <c r="CL46" s="281">
        <v>25</v>
      </c>
      <c r="CM46" s="281">
        <v>642</v>
      </c>
      <c r="CN46" s="281">
        <v>1635</v>
      </c>
      <c r="CO46" s="284">
        <v>252</v>
      </c>
      <c r="CP46" s="281">
        <v>135</v>
      </c>
      <c r="CQ46" s="281">
        <v>416</v>
      </c>
      <c r="CR46" s="281">
        <v>371</v>
      </c>
      <c r="CS46" s="283">
        <v>0</v>
      </c>
      <c r="CT46" s="284">
        <v>0</v>
      </c>
      <c r="CU46" s="283">
        <v>0</v>
      </c>
      <c r="CV46" s="283">
        <v>0</v>
      </c>
      <c r="CW46" s="281">
        <v>4</v>
      </c>
      <c r="CX46" s="281">
        <v>223725</v>
      </c>
      <c r="DB46" s="19"/>
      <c r="DF46" s="19"/>
      <c r="DH46" s="19"/>
    </row>
    <row r="47" spans="1:112" ht="17.5" x14ac:dyDescent="0.45">
      <c r="A47" s="269" t="s">
        <v>81</v>
      </c>
      <c r="B47" s="284">
        <v>0</v>
      </c>
      <c r="C47" s="281">
        <v>0</v>
      </c>
      <c r="D47" s="281">
        <v>1555</v>
      </c>
      <c r="E47" s="281">
        <v>18</v>
      </c>
      <c r="F47" s="281">
        <v>1973</v>
      </c>
      <c r="G47" s="281">
        <v>197</v>
      </c>
      <c r="H47" s="281">
        <v>314</v>
      </c>
      <c r="I47" s="281">
        <v>263</v>
      </c>
      <c r="J47" s="281">
        <v>0</v>
      </c>
      <c r="K47" s="281">
        <v>200</v>
      </c>
      <c r="L47" s="281">
        <v>101</v>
      </c>
      <c r="M47" s="281">
        <v>42</v>
      </c>
      <c r="N47" s="281">
        <v>384</v>
      </c>
      <c r="O47" s="284">
        <v>0</v>
      </c>
      <c r="P47" s="281">
        <v>100</v>
      </c>
      <c r="Q47" s="284">
        <v>0</v>
      </c>
      <c r="R47" s="281">
        <v>0</v>
      </c>
      <c r="S47" s="284">
        <v>10</v>
      </c>
      <c r="T47" s="284">
        <v>86</v>
      </c>
      <c r="U47" s="281">
        <v>211</v>
      </c>
      <c r="V47" s="281">
        <v>405</v>
      </c>
      <c r="W47" s="281">
        <v>119</v>
      </c>
      <c r="X47" s="284">
        <v>0</v>
      </c>
      <c r="Y47" s="284">
        <v>0</v>
      </c>
      <c r="Z47" s="284">
        <v>0</v>
      </c>
      <c r="AA47" s="281">
        <v>0</v>
      </c>
      <c r="AB47" s="281">
        <v>68</v>
      </c>
      <c r="AC47" s="281">
        <v>570</v>
      </c>
      <c r="AD47" s="281">
        <v>69486</v>
      </c>
      <c r="AE47" s="281">
        <v>315</v>
      </c>
      <c r="AF47" s="281">
        <v>996</v>
      </c>
      <c r="AG47" s="287">
        <v>0</v>
      </c>
      <c r="AH47" s="281">
        <v>12</v>
      </c>
      <c r="AI47" s="287">
        <v>0</v>
      </c>
      <c r="AJ47" s="330">
        <v>36</v>
      </c>
      <c r="AK47" s="281">
        <v>1499</v>
      </c>
      <c r="AL47" s="283">
        <v>0</v>
      </c>
      <c r="AM47" s="281">
        <v>30</v>
      </c>
      <c r="AN47" s="284">
        <v>178</v>
      </c>
      <c r="AO47" s="283">
        <v>0</v>
      </c>
      <c r="AP47" s="333">
        <v>0</v>
      </c>
      <c r="AQ47" s="284">
        <v>0</v>
      </c>
      <c r="AR47" s="284">
        <v>1267</v>
      </c>
      <c r="AS47" s="281">
        <v>0</v>
      </c>
      <c r="AT47" s="281">
        <v>225</v>
      </c>
      <c r="AU47" s="284">
        <v>0</v>
      </c>
      <c r="AV47" s="281">
        <v>105</v>
      </c>
      <c r="AW47" s="281">
        <v>99</v>
      </c>
      <c r="AX47" s="284">
        <v>0</v>
      </c>
      <c r="AY47" s="281">
        <v>44</v>
      </c>
      <c r="AZ47" s="281">
        <v>65</v>
      </c>
      <c r="BA47" s="281">
        <v>425</v>
      </c>
      <c r="BB47" s="281">
        <v>551</v>
      </c>
      <c r="BC47" s="281">
        <v>2000</v>
      </c>
      <c r="BD47" s="281">
        <v>22</v>
      </c>
      <c r="BE47" s="281">
        <v>6890</v>
      </c>
      <c r="BF47" s="284">
        <v>0</v>
      </c>
      <c r="BG47" s="302">
        <v>0</v>
      </c>
      <c r="BH47" s="284">
        <v>0</v>
      </c>
      <c r="BI47" s="281">
        <v>95</v>
      </c>
      <c r="BJ47" s="281">
        <v>16500</v>
      </c>
      <c r="BK47" s="281">
        <v>0</v>
      </c>
      <c r="BL47" s="281">
        <v>291</v>
      </c>
      <c r="BM47" s="284">
        <v>308</v>
      </c>
      <c r="BN47" s="281">
        <v>1125</v>
      </c>
      <c r="BO47" s="281">
        <v>782</v>
      </c>
      <c r="BP47" s="281">
        <v>732</v>
      </c>
      <c r="BQ47" s="281">
        <v>531</v>
      </c>
      <c r="BR47" s="281">
        <v>663</v>
      </c>
      <c r="BS47" s="284">
        <v>0</v>
      </c>
      <c r="BT47" s="281">
        <v>371</v>
      </c>
      <c r="BU47" s="281">
        <v>2973</v>
      </c>
      <c r="BV47" s="281">
        <v>0</v>
      </c>
      <c r="BW47" s="281">
        <v>230</v>
      </c>
      <c r="BX47" s="281">
        <v>8314</v>
      </c>
      <c r="BY47" s="284">
        <v>0</v>
      </c>
      <c r="BZ47" s="281">
        <v>2652</v>
      </c>
      <c r="CA47" s="284">
        <v>40</v>
      </c>
      <c r="CB47" s="283">
        <v>200</v>
      </c>
      <c r="CC47" s="281">
        <v>897</v>
      </c>
      <c r="CD47" s="281">
        <v>41</v>
      </c>
      <c r="CE47" s="281">
        <v>225</v>
      </c>
      <c r="CF47" s="281">
        <v>3</v>
      </c>
      <c r="CG47" s="281">
        <v>432</v>
      </c>
      <c r="CH47" s="284">
        <v>0</v>
      </c>
      <c r="CI47" s="281">
        <v>44292</v>
      </c>
      <c r="CJ47" s="281">
        <v>487</v>
      </c>
      <c r="CK47" s="281">
        <v>5216</v>
      </c>
      <c r="CL47" s="281">
        <v>150</v>
      </c>
      <c r="CM47" s="281">
        <v>403</v>
      </c>
      <c r="CN47" s="281">
        <v>1500</v>
      </c>
      <c r="CO47" s="284">
        <v>206</v>
      </c>
      <c r="CP47" s="281">
        <v>101</v>
      </c>
      <c r="CQ47" s="281">
        <v>426</v>
      </c>
      <c r="CR47" s="281">
        <v>159</v>
      </c>
      <c r="CS47" s="283">
        <v>0</v>
      </c>
      <c r="CT47" s="284">
        <v>240</v>
      </c>
      <c r="CU47" s="283">
        <v>0</v>
      </c>
      <c r="CV47" s="283">
        <v>0</v>
      </c>
      <c r="CW47" s="281">
        <v>2</v>
      </c>
      <c r="CX47" s="281">
        <v>181448</v>
      </c>
      <c r="DB47" s="19"/>
      <c r="DF47" s="19"/>
      <c r="DH47" s="19"/>
    </row>
    <row r="48" spans="1:112" ht="17.5" x14ac:dyDescent="0.45">
      <c r="A48" s="269" t="s">
        <v>82</v>
      </c>
      <c r="B48" s="281">
        <v>0</v>
      </c>
      <c r="C48" s="281">
        <v>26</v>
      </c>
      <c r="D48" s="281">
        <v>1037.2857142857142</v>
      </c>
      <c r="E48" s="281">
        <v>22.285714285714285</v>
      </c>
      <c r="F48" s="281">
        <v>2350.4285714285716</v>
      </c>
      <c r="G48" s="281">
        <v>227.85714285714286</v>
      </c>
      <c r="H48" s="281">
        <v>353.42857142857144</v>
      </c>
      <c r="I48" s="281">
        <v>138.42857142857142</v>
      </c>
      <c r="J48" s="281">
        <v>82.142857142857139</v>
      </c>
      <c r="K48" s="281">
        <v>440.42857142857144</v>
      </c>
      <c r="L48" s="281">
        <v>114.14285714285714</v>
      </c>
      <c r="M48" s="281">
        <v>45.428571428571431</v>
      </c>
      <c r="N48" s="281">
        <v>396.57142857142856</v>
      </c>
      <c r="O48" s="281">
        <v>0</v>
      </c>
      <c r="P48" s="281">
        <v>94.714285714285708</v>
      </c>
      <c r="Q48" s="281">
        <v>0</v>
      </c>
      <c r="R48" s="281">
        <v>49</v>
      </c>
      <c r="S48" s="281">
        <v>2</v>
      </c>
      <c r="T48" s="281">
        <v>15.142857142857142</v>
      </c>
      <c r="U48" s="281">
        <v>192</v>
      </c>
      <c r="V48" s="281">
        <v>430.71428571428572</v>
      </c>
      <c r="W48" s="281">
        <v>119.14285714285714</v>
      </c>
      <c r="X48" s="281">
        <v>0</v>
      </c>
      <c r="Y48" s="281">
        <v>2676.4285714285716</v>
      </c>
      <c r="Z48" s="281">
        <v>0</v>
      </c>
      <c r="AA48" s="281">
        <v>39.285714285714285</v>
      </c>
      <c r="AB48" s="281">
        <v>64.857142857142861</v>
      </c>
      <c r="AC48" s="281">
        <v>374.14285714285717</v>
      </c>
      <c r="AD48" s="281">
        <v>70036.571428571435</v>
      </c>
      <c r="AE48" s="281">
        <v>141.14285714285714</v>
      </c>
      <c r="AF48" s="281">
        <v>751.57142857142856</v>
      </c>
      <c r="AG48" s="281">
        <v>0</v>
      </c>
      <c r="AH48" s="281">
        <v>13.428571428571429</v>
      </c>
      <c r="AI48" s="281">
        <v>0</v>
      </c>
      <c r="AJ48" s="281">
        <v>39.714285714285715</v>
      </c>
      <c r="AK48" s="281">
        <v>941.42857142857144</v>
      </c>
      <c r="AL48" s="281">
        <v>0</v>
      </c>
      <c r="AM48" s="281">
        <v>37</v>
      </c>
      <c r="AN48" s="281">
        <v>85.714285714285708</v>
      </c>
      <c r="AO48" s="281">
        <v>0</v>
      </c>
      <c r="AP48" s="302">
        <v>0</v>
      </c>
      <c r="AQ48" s="281">
        <v>48.285714285714285</v>
      </c>
      <c r="AR48" s="281">
        <v>592.85714285714289</v>
      </c>
      <c r="AS48" s="281">
        <v>16.428571428571427</v>
      </c>
      <c r="AT48" s="281">
        <v>235.71428571428572</v>
      </c>
      <c r="AU48" s="281">
        <v>2</v>
      </c>
      <c r="AV48" s="281">
        <v>85.714285714285708</v>
      </c>
      <c r="AW48" s="281">
        <v>90</v>
      </c>
      <c r="AX48" s="281">
        <v>0</v>
      </c>
      <c r="AY48" s="281">
        <v>44.857142857142854</v>
      </c>
      <c r="AZ48" s="281">
        <v>375</v>
      </c>
      <c r="BA48" s="281">
        <v>411.14285714285717</v>
      </c>
      <c r="BB48" s="281">
        <v>452.71428571428572</v>
      </c>
      <c r="BC48" s="281">
        <v>4141</v>
      </c>
      <c r="BD48" s="281">
        <v>24.571428571428573</v>
      </c>
      <c r="BE48" s="281">
        <v>7483.1428571428569</v>
      </c>
      <c r="BF48" s="281">
        <v>0</v>
      </c>
      <c r="BG48" s="302">
        <v>60</v>
      </c>
      <c r="BH48" s="281">
        <v>22.285714285714285</v>
      </c>
      <c r="BI48" s="281">
        <v>80.428571428571431</v>
      </c>
      <c r="BJ48" s="281">
        <v>17340.285714285714</v>
      </c>
      <c r="BK48" s="281">
        <v>80.571428571428569</v>
      </c>
      <c r="BL48" s="281">
        <v>200.14285714285714</v>
      </c>
      <c r="BM48" s="281">
        <v>263.71428571428572</v>
      </c>
      <c r="BN48" s="281">
        <v>1297.1428571428571</v>
      </c>
      <c r="BO48" s="281">
        <v>785.42857142857144</v>
      </c>
      <c r="BP48" s="281">
        <v>918.57142857142856</v>
      </c>
      <c r="BQ48" s="281">
        <v>1339.2857142857142</v>
      </c>
      <c r="BR48" s="281">
        <v>1485.4285714285713</v>
      </c>
      <c r="BS48" s="281">
        <v>0</v>
      </c>
      <c r="BT48" s="281">
        <v>1771.5714285714287</v>
      </c>
      <c r="BU48" s="281">
        <v>10367.285714285714</v>
      </c>
      <c r="BV48" s="281">
        <v>2989.7142857142858</v>
      </c>
      <c r="BW48" s="281">
        <v>174.57142857142858</v>
      </c>
      <c r="BX48" s="281">
        <v>22114.714285714286</v>
      </c>
      <c r="BY48" s="281">
        <v>0</v>
      </c>
      <c r="BZ48" s="281">
        <v>8756.2857142857138</v>
      </c>
      <c r="CA48" s="281">
        <v>11.285714285714286</v>
      </c>
      <c r="CB48" s="281">
        <v>57.142857142857146</v>
      </c>
      <c r="CC48" s="281">
        <v>598.71428571428567</v>
      </c>
      <c r="CD48" s="281">
        <v>291.57142857142856</v>
      </c>
      <c r="CE48" s="281">
        <v>257.14285714285717</v>
      </c>
      <c r="CF48" s="281">
        <v>3</v>
      </c>
      <c r="CG48" s="281">
        <v>380.71428571428572</v>
      </c>
      <c r="CH48" s="281">
        <v>0</v>
      </c>
      <c r="CI48" s="281">
        <v>37659</v>
      </c>
      <c r="CJ48" s="281">
        <v>324.14285714285717</v>
      </c>
      <c r="CK48" s="281">
        <v>7178.8571428571431</v>
      </c>
      <c r="CL48" s="281">
        <v>100.85714285714286</v>
      </c>
      <c r="CM48" s="281">
        <v>561.14285714285711</v>
      </c>
      <c r="CN48" s="281">
        <v>1617</v>
      </c>
      <c r="CO48" s="281">
        <v>119.28571428571429</v>
      </c>
      <c r="CP48" s="281">
        <v>104.85714285714286</v>
      </c>
      <c r="CQ48" s="281">
        <v>293.42857142857144</v>
      </c>
      <c r="CR48" s="281">
        <v>156</v>
      </c>
      <c r="CS48" s="281">
        <v>10.142857142857142</v>
      </c>
      <c r="CT48" s="281">
        <v>156</v>
      </c>
      <c r="CU48" s="281">
        <v>0</v>
      </c>
      <c r="CV48" s="281">
        <v>0</v>
      </c>
      <c r="CW48" s="281">
        <v>3.7142857142857144</v>
      </c>
      <c r="CX48" s="281">
        <v>215273.28571428574</v>
      </c>
      <c r="DB48" s="19"/>
      <c r="DF48" s="19"/>
      <c r="DH48" s="19"/>
    </row>
    <row r="49" spans="1:112" ht="17.5" x14ac:dyDescent="0.45">
      <c r="A49" s="269" t="s">
        <v>83</v>
      </c>
      <c r="B49" s="281">
        <v>0</v>
      </c>
      <c r="C49" s="281">
        <v>26</v>
      </c>
      <c r="D49" s="281">
        <v>1037.2857142857142</v>
      </c>
      <c r="E49" s="281">
        <v>22.285714285714285</v>
      </c>
      <c r="F49" s="281">
        <v>2350.4285714285716</v>
      </c>
      <c r="G49" s="281">
        <v>227.85714285714286</v>
      </c>
      <c r="H49" s="281">
        <v>353.42857142857144</v>
      </c>
      <c r="I49" s="281">
        <v>138.42857142857142</v>
      </c>
      <c r="J49" s="281">
        <v>82.142857142857139</v>
      </c>
      <c r="K49" s="281">
        <v>440.42857142857144</v>
      </c>
      <c r="L49" s="281">
        <v>114.14285714285714</v>
      </c>
      <c r="M49" s="281">
        <v>45.428571428571431</v>
      </c>
      <c r="N49" s="281">
        <v>396.57142857142856</v>
      </c>
      <c r="O49" s="281">
        <v>0</v>
      </c>
      <c r="P49" s="281">
        <v>94.714285714285708</v>
      </c>
      <c r="Q49" s="281">
        <v>0</v>
      </c>
      <c r="R49" s="281">
        <v>49</v>
      </c>
      <c r="S49" s="281">
        <v>2</v>
      </c>
      <c r="T49" s="281">
        <v>15.142857142857142</v>
      </c>
      <c r="U49" s="281">
        <v>192</v>
      </c>
      <c r="V49" s="281">
        <v>430.71428571428572</v>
      </c>
      <c r="W49" s="281">
        <v>119.14285714285714</v>
      </c>
      <c r="X49" s="281">
        <v>0</v>
      </c>
      <c r="Y49" s="281">
        <v>2676.4285714285716</v>
      </c>
      <c r="Z49" s="281">
        <v>0</v>
      </c>
      <c r="AA49" s="281">
        <v>39.285714285714285</v>
      </c>
      <c r="AB49" s="281">
        <v>64.857142857142861</v>
      </c>
      <c r="AC49" s="281">
        <v>374.14285714285717</v>
      </c>
      <c r="AD49" s="281">
        <v>70036.571428571435</v>
      </c>
      <c r="AE49" s="281">
        <v>141.14285714285714</v>
      </c>
      <c r="AF49" s="281">
        <v>751.57142857142856</v>
      </c>
      <c r="AG49" s="281">
        <v>0</v>
      </c>
      <c r="AH49" s="281">
        <v>13.428571428571429</v>
      </c>
      <c r="AI49" s="281">
        <v>0</v>
      </c>
      <c r="AJ49" s="281">
        <v>39.714285714285715</v>
      </c>
      <c r="AK49" s="281">
        <v>941.42857142857144</v>
      </c>
      <c r="AL49" s="281">
        <v>0</v>
      </c>
      <c r="AM49" s="281">
        <v>37</v>
      </c>
      <c r="AN49" s="281">
        <v>85.714285714285708</v>
      </c>
      <c r="AO49" s="281">
        <v>0</v>
      </c>
      <c r="AP49" s="302">
        <v>0</v>
      </c>
      <c r="AQ49" s="281">
        <v>48.285714285714285</v>
      </c>
      <c r="AR49" s="281">
        <v>592.85714285714289</v>
      </c>
      <c r="AS49" s="281">
        <v>16.428571428571427</v>
      </c>
      <c r="AT49" s="281">
        <v>235.71428571428572</v>
      </c>
      <c r="AU49" s="281">
        <v>2</v>
      </c>
      <c r="AV49" s="281">
        <v>85.714285714285708</v>
      </c>
      <c r="AW49" s="281">
        <v>90</v>
      </c>
      <c r="AX49" s="281">
        <v>0</v>
      </c>
      <c r="AY49" s="281">
        <v>44.857142857142854</v>
      </c>
      <c r="AZ49" s="281">
        <v>375</v>
      </c>
      <c r="BA49" s="281">
        <v>411.14285714285717</v>
      </c>
      <c r="BB49" s="281">
        <v>452.71428571428572</v>
      </c>
      <c r="BC49" s="281">
        <v>4141</v>
      </c>
      <c r="BD49" s="281">
        <v>24.571428571428573</v>
      </c>
      <c r="BE49" s="281">
        <v>7483.1428571428569</v>
      </c>
      <c r="BF49" s="281">
        <v>0</v>
      </c>
      <c r="BG49" s="302">
        <v>60</v>
      </c>
      <c r="BH49" s="281">
        <v>22.285714285714285</v>
      </c>
      <c r="BI49" s="281">
        <v>80.428571428571431</v>
      </c>
      <c r="BJ49" s="281">
        <v>17340.285714285714</v>
      </c>
      <c r="BK49" s="281">
        <v>80.571428571428569</v>
      </c>
      <c r="BL49" s="281">
        <v>200.14285714285714</v>
      </c>
      <c r="BM49" s="281">
        <v>263.71428571428572</v>
      </c>
      <c r="BN49" s="281">
        <v>1297.1428571428571</v>
      </c>
      <c r="BO49" s="281">
        <v>785.42857142857144</v>
      </c>
      <c r="BP49" s="281">
        <v>918.57142857142856</v>
      </c>
      <c r="BQ49" s="281">
        <v>1339.2857142857142</v>
      </c>
      <c r="BR49" s="281">
        <v>1485.4285714285713</v>
      </c>
      <c r="BS49" s="281">
        <v>0</v>
      </c>
      <c r="BT49" s="281">
        <v>1771.5714285714287</v>
      </c>
      <c r="BU49" s="281">
        <v>10367.285714285714</v>
      </c>
      <c r="BV49" s="281">
        <v>2989.7142857142858</v>
      </c>
      <c r="BW49" s="281">
        <v>174.57142857142858</v>
      </c>
      <c r="BX49" s="281">
        <v>22114.714285714286</v>
      </c>
      <c r="BY49" s="281">
        <v>0</v>
      </c>
      <c r="BZ49" s="281">
        <v>8756.2857142857138</v>
      </c>
      <c r="CA49" s="281">
        <v>11.285714285714286</v>
      </c>
      <c r="CB49" s="281">
        <v>57.142857142857146</v>
      </c>
      <c r="CC49" s="281">
        <v>598.71428571428567</v>
      </c>
      <c r="CD49" s="281">
        <v>291.57142857142856</v>
      </c>
      <c r="CE49" s="281">
        <v>257.14285714285717</v>
      </c>
      <c r="CF49" s="281">
        <v>3</v>
      </c>
      <c r="CG49" s="281">
        <v>380.71428571428572</v>
      </c>
      <c r="CH49" s="281">
        <v>0</v>
      </c>
      <c r="CI49" s="281">
        <v>37659</v>
      </c>
      <c r="CJ49" s="281">
        <v>324.14285714285717</v>
      </c>
      <c r="CK49" s="281">
        <v>7178.8571428571431</v>
      </c>
      <c r="CL49" s="281">
        <v>100.85714285714286</v>
      </c>
      <c r="CM49" s="281">
        <v>561.14285714285711</v>
      </c>
      <c r="CN49" s="281">
        <v>1617</v>
      </c>
      <c r="CO49" s="281">
        <v>119.28571428571429</v>
      </c>
      <c r="CP49" s="281">
        <v>104.85714285714286</v>
      </c>
      <c r="CQ49" s="281">
        <v>293.42857142857144</v>
      </c>
      <c r="CR49" s="281">
        <v>156</v>
      </c>
      <c r="CS49" s="281">
        <v>10.142857142857142</v>
      </c>
      <c r="CT49" s="281">
        <v>156</v>
      </c>
      <c r="CU49" s="281">
        <v>0</v>
      </c>
      <c r="CV49" s="281">
        <v>0</v>
      </c>
      <c r="CW49" s="281">
        <v>3.7142857142857144</v>
      </c>
      <c r="CX49" s="281">
        <v>215273.28571428574</v>
      </c>
      <c r="DB49" s="19"/>
      <c r="DF49" s="19"/>
      <c r="DH49" s="19"/>
    </row>
    <row r="50" spans="1:112" ht="17.5" x14ac:dyDescent="0.45">
      <c r="A50" s="269" t="s">
        <v>84</v>
      </c>
      <c r="B50" s="281">
        <v>0</v>
      </c>
      <c r="C50" s="281">
        <v>26</v>
      </c>
      <c r="D50" s="281">
        <v>1037.2857142857142</v>
      </c>
      <c r="E50" s="281">
        <v>22.285714285714285</v>
      </c>
      <c r="F50" s="281">
        <v>2350.4285714285716</v>
      </c>
      <c r="G50" s="281">
        <v>227.85714285714286</v>
      </c>
      <c r="H50" s="281">
        <v>353.42857142857144</v>
      </c>
      <c r="I50" s="281">
        <v>138.42857142857142</v>
      </c>
      <c r="J50" s="281">
        <v>82.142857142857139</v>
      </c>
      <c r="K50" s="281">
        <v>440.42857142857144</v>
      </c>
      <c r="L50" s="281">
        <v>114.14285714285714</v>
      </c>
      <c r="M50" s="281">
        <v>45.428571428571431</v>
      </c>
      <c r="N50" s="281">
        <v>396.57142857142856</v>
      </c>
      <c r="O50" s="281">
        <v>0</v>
      </c>
      <c r="P50" s="281">
        <v>94.714285714285708</v>
      </c>
      <c r="Q50" s="281">
        <v>0</v>
      </c>
      <c r="R50" s="281">
        <v>49</v>
      </c>
      <c r="S50" s="281">
        <v>2</v>
      </c>
      <c r="T50" s="281">
        <v>15.142857142857142</v>
      </c>
      <c r="U50" s="281">
        <v>192</v>
      </c>
      <c r="V50" s="281">
        <v>430.71428571428572</v>
      </c>
      <c r="W50" s="281">
        <v>119.14285714285714</v>
      </c>
      <c r="X50" s="281">
        <v>0</v>
      </c>
      <c r="Y50" s="281">
        <v>2676.4285714285716</v>
      </c>
      <c r="Z50" s="281">
        <v>0</v>
      </c>
      <c r="AA50" s="281">
        <v>39.285714285714285</v>
      </c>
      <c r="AB50" s="281">
        <v>64.857142857142861</v>
      </c>
      <c r="AC50" s="281">
        <v>374.14285714285717</v>
      </c>
      <c r="AD50" s="281">
        <v>70036.571428571435</v>
      </c>
      <c r="AE50" s="281">
        <v>141.14285714285714</v>
      </c>
      <c r="AF50" s="281">
        <v>751.57142857142856</v>
      </c>
      <c r="AG50" s="281">
        <v>0</v>
      </c>
      <c r="AH50" s="281">
        <v>13.428571428571429</v>
      </c>
      <c r="AI50" s="281">
        <v>0</v>
      </c>
      <c r="AJ50" s="281">
        <v>39.714285714285715</v>
      </c>
      <c r="AK50" s="281">
        <v>941.42857142857144</v>
      </c>
      <c r="AL50" s="281">
        <v>0</v>
      </c>
      <c r="AM50" s="281">
        <v>37</v>
      </c>
      <c r="AN50" s="281">
        <v>85.714285714285708</v>
      </c>
      <c r="AO50" s="281">
        <v>0</v>
      </c>
      <c r="AP50" s="302">
        <v>0</v>
      </c>
      <c r="AQ50" s="281">
        <v>48.285714285714285</v>
      </c>
      <c r="AR50" s="281">
        <v>592.85714285714289</v>
      </c>
      <c r="AS50" s="281">
        <v>16.428571428571427</v>
      </c>
      <c r="AT50" s="281">
        <v>235.71428571428572</v>
      </c>
      <c r="AU50" s="281">
        <v>2</v>
      </c>
      <c r="AV50" s="281">
        <v>85.714285714285708</v>
      </c>
      <c r="AW50" s="281">
        <v>90</v>
      </c>
      <c r="AX50" s="281">
        <v>0</v>
      </c>
      <c r="AY50" s="281">
        <v>44.857142857142854</v>
      </c>
      <c r="AZ50" s="281">
        <v>375</v>
      </c>
      <c r="BA50" s="281">
        <v>411.14285714285717</v>
      </c>
      <c r="BB50" s="281">
        <v>452.71428571428572</v>
      </c>
      <c r="BC50" s="281">
        <v>4141</v>
      </c>
      <c r="BD50" s="281">
        <v>24.571428571428573</v>
      </c>
      <c r="BE50" s="281">
        <v>7483.1428571428569</v>
      </c>
      <c r="BF50" s="281">
        <v>0</v>
      </c>
      <c r="BG50" s="302">
        <v>60</v>
      </c>
      <c r="BH50" s="281">
        <v>22.285714285714285</v>
      </c>
      <c r="BI50" s="281">
        <v>80.428571428571431</v>
      </c>
      <c r="BJ50" s="281">
        <v>17340.285714285714</v>
      </c>
      <c r="BK50" s="281">
        <v>80.571428571428569</v>
      </c>
      <c r="BL50" s="281">
        <v>200.14285714285714</v>
      </c>
      <c r="BM50" s="281">
        <v>263.71428571428572</v>
      </c>
      <c r="BN50" s="281">
        <v>1297.1428571428571</v>
      </c>
      <c r="BO50" s="281">
        <v>785.42857142857144</v>
      </c>
      <c r="BP50" s="281">
        <v>918.57142857142856</v>
      </c>
      <c r="BQ50" s="281">
        <v>1339.2857142857142</v>
      </c>
      <c r="BR50" s="281">
        <v>1485.4285714285713</v>
      </c>
      <c r="BS50" s="281">
        <v>0</v>
      </c>
      <c r="BT50" s="281">
        <v>1771.5714285714287</v>
      </c>
      <c r="BU50" s="281">
        <v>10367.285714285714</v>
      </c>
      <c r="BV50" s="281">
        <v>2989.7142857142858</v>
      </c>
      <c r="BW50" s="281">
        <v>174.57142857142858</v>
      </c>
      <c r="BX50" s="281">
        <v>22114.714285714286</v>
      </c>
      <c r="BY50" s="281">
        <v>0</v>
      </c>
      <c r="BZ50" s="281">
        <v>8756.2857142857138</v>
      </c>
      <c r="CA50" s="281">
        <v>11.285714285714286</v>
      </c>
      <c r="CB50" s="281">
        <v>57.142857142857146</v>
      </c>
      <c r="CC50" s="281">
        <v>598.71428571428567</v>
      </c>
      <c r="CD50" s="281">
        <v>291.57142857142856</v>
      </c>
      <c r="CE50" s="281">
        <v>257.14285714285717</v>
      </c>
      <c r="CF50" s="281">
        <v>3</v>
      </c>
      <c r="CG50" s="281">
        <v>380.71428571428572</v>
      </c>
      <c r="CH50" s="281">
        <v>0</v>
      </c>
      <c r="CI50" s="281">
        <v>37659</v>
      </c>
      <c r="CJ50" s="281">
        <v>324.14285714285717</v>
      </c>
      <c r="CK50" s="281">
        <v>7178.8571428571431</v>
      </c>
      <c r="CL50" s="281">
        <v>100.85714285714286</v>
      </c>
      <c r="CM50" s="281">
        <v>561.14285714285711</v>
      </c>
      <c r="CN50" s="281">
        <v>1617</v>
      </c>
      <c r="CO50" s="281">
        <v>119.28571428571429</v>
      </c>
      <c r="CP50" s="281">
        <v>104.85714285714286</v>
      </c>
      <c r="CQ50" s="281">
        <v>293.42857142857144</v>
      </c>
      <c r="CR50" s="281">
        <v>156</v>
      </c>
      <c r="CS50" s="281">
        <v>10.142857142857142</v>
      </c>
      <c r="CT50" s="281">
        <v>156</v>
      </c>
      <c r="CU50" s="281">
        <v>0</v>
      </c>
      <c r="CV50" s="281">
        <v>0</v>
      </c>
      <c r="CW50" s="281">
        <v>3.7142857142857144</v>
      </c>
      <c r="CX50" s="281">
        <v>215273.28571428574</v>
      </c>
      <c r="DB50" s="19"/>
      <c r="DF50" s="19"/>
      <c r="DH50" s="19"/>
    </row>
    <row r="51" spans="1:112" ht="17.5" x14ac:dyDescent="0.45">
      <c r="A51" s="269" t="s">
        <v>85</v>
      </c>
      <c r="B51" s="281">
        <v>6.4285714285714288</v>
      </c>
      <c r="C51" s="281">
        <v>26</v>
      </c>
      <c r="D51" s="281">
        <v>1037.2857142857142</v>
      </c>
      <c r="E51" s="281">
        <v>22.285714285714285</v>
      </c>
      <c r="F51" s="281">
        <v>2350.4285714285716</v>
      </c>
      <c r="G51" s="281">
        <v>227.85714285714286</v>
      </c>
      <c r="H51" s="281">
        <v>353.42857142857144</v>
      </c>
      <c r="I51" s="281">
        <v>138.42857142857142</v>
      </c>
      <c r="J51" s="281">
        <v>82.142857142857139</v>
      </c>
      <c r="K51" s="281">
        <v>440.42857142857144</v>
      </c>
      <c r="L51" s="281">
        <v>114.14285714285714</v>
      </c>
      <c r="M51" s="281">
        <v>45.428571428571431</v>
      </c>
      <c r="N51" s="281">
        <v>396.57142857142856</v>
      </c>
      <c r="O51" s="281">
        <v>32.857142857142854</v>
      </c>
      <c r="P51" s="281">
        <v>94.714285714285708</v>
      </c>
      <c r="Q51" s="281">
        <v>3.1428571428571428</v>
      </c>
      <c r="R51" s="281">
        <v>49</v>
      </c>
      <c r="S51" s="281">
        <v>2</v>
      </c>
      <c r="T51" s="281">
        <v>15.142857142857142</v>
      </c>
      <c r="U51" s="281">
        <v>192</v>
      </c>
      <c r="V51" s="281">
        <v>430.71428571428572</v>
      </c>
      <c r="W51" s="281">
        <v>119.14285714285714</v>
      </c>
      <c r="X51" s="281">
        <v>2.2857142857142856</v>
      </c>
      <c r="Y51" s="281">
        <v>2676.4285714285716</v>
      </c>
      <c r="Z51" s="281">
        <v>2.8571428571428572</v>
      </c>
      <c r="AA51" s="281">
        <v>39.285714285714285</v>
      </c>
      <c r="AB51" s="281">
        <v>64.857142857142861</v>
      </c>
      <c r="AC51" s="281">
        <v>374.14285714285717</v>
      </c>
      <c r="AD51" s="281">
        <v>70036.571428571435</v>
      </c>
      <c r="AE51" s="281">
        <v>141.14285714285714</v>
      </c>
      <c r="AF51" s="281">
        <v>751.57142857142856</v>
      </c>
      <c r="AG51" s="281">
        <v>4.2857142857142856</v>
      </c>
      <c r="AH51" s="281">
        <v>13.428571428571429</v>
      </c>
      <c r="AI51" s="281">
        <v>28.571428571428573</v>
      </c>
      <c r="AJ51" s="281">
        <v>39.714285714285715</v>
      </c>
      <c r="AK51" s="281">
        <v>941.42857142857144</v>
      </c>
      <c r="AL51" s="281">
        <v>69.285714285714292</v>
      </c>
      <c r="AM51" s="281">
        <v>37</v>
      </c>
      <c r="AN51" s="281">
        <v>85.714285714285708</v>
      </c>
      <c r="AO51" s="281">
        <v>1</v>
      </c>
      <c r="AP51" s="302">
        <v>1.8571428571428572</v>
      </c>
      <c r="AQ51" s="281">
        <v>48.285714285714285</v>
      </c>
      <c r="AR51" s="281">
        <v>592.85714285714289</v>
      </c>
      <c r="AS51" s="281">
        <v>16.428571428571427</v>
      </c>
      <c r="AT51" s="281">
        <v>235.71428571428572</v>
      </c>
      <c r="AU51" s="281">
        <v>2</v>
      </c>
      <c r="AV51" s="281">
        <v>85.714285714285708</v>
      </c>
      <c r="AW51" s="281">
        <v>90</v>
      </c>
      <c r="AX51" s="281">
        <v>4.2857142857142856</v>
      </c>
      <c r="AY51" s="281">
        <v>44.857142857142854</v>
      </c>
      <c r="AZ51" s="281">
        <v>375</v>
      </c>
      <c r="BA51" s="281">
        <v>411.14285714285717</v>
      </c>
      <c r="BB51" s="281">
        <v>452.71428571428572</v>
      </c>
      <c r="BC51" s="281">
        <v>4141</v>
      </c>
      <c r="BD51" s="281">
        <v>24.571428571428573</v>
      </c>
      <c r="BE51" s="281">
        <v>7483.1428571428569</v>
      </c>
      <c r="BF51" s="281">
        <v>2.7142857142857144</v>
      </c>
      <c r="BG51" s="302">
        <v>60</v>
      </c>
      <c r="BH51" s="281">
        <v>22.285714285714285</v>
      </c>
      <c r="BI51" s="281">
        <v>80.428571428571431</v>
      </c>
      <c r="BJ51" s="281">
        <v>17340.285714285714</v>
      </c>
      <c r="BK51" s="281">
        <v>80.571428571428569</v>
      </c>
      <c r="BL51" s="281">
        <v>200.14285714285714</v>
      </c>
      <c r="BM51" s="281">
        <v>263.71428571428572</v>
      </c>
      <c r="BN51" s="281">
        <v>1297.1428571428571</v>
      </c>
      <c r="BO51" s="281">
        <v>785.42857142857144</v>
      </c>
      <c r="BP51" s="281">
        <v>918.57142857142856</v>
      </c>
      <c r="BQ51" s="281">
        <v>1339.2857142857142</v>
      </c>
      <c r="BR51" s="281">
        <v>1485.4285714285713</v>
      </c>
      <c r="BS51" s="281">
        <v>3</v>
      </c>
      <c r="BT51" s="281">
        <v>1771.5714285714287</v>
      </c>
      <c r="BU51" s="281">
        <v>10367.285714285714</v>
      </c>
      <c r="BV51" s="281">
        <v>2989.7142857142858</v>
      </c>
      <c r="BW51" s="281">
        <v>174.57142857142858</v>
      </c>
      <c r="BX51" s="281">
        <v>22114.714285714286</v>
      </c>
      <c r="BY51" s="281">
        <v>17.571428571428573</v>
      </c>
      <c r="BZ51" s="281">
        <v>8756.2857142857138</v>
      </c>
      <c r="CA51" s="281">
        <v>11.285714285714286</v>
      </c>
      <c r="CB51" s="281">
        <v>57.142857142857146</v>
      </c>
      <c r="CC51" s="281">
        <v>598.71428571428567</v>
      </c>
      <c r="CD51" s="281">
        <v>291.57142857142856</v>
      </c>
      <c r="CE51" s="281">
        <v>257.14285714285717</v>
      </c>
      <c r="CF51" s="281">
        <v>3</v>
      </c>
      <c r="CG51" s="281">
        <v>380.71428571428572</v>
      </c>
      <c r="CH51" s="281">
        <v>38.571428571428569</v>
      </c>
      <c r="CI51" s="281">
        <v>37659</v>
      </c>
      <c r="CJ51" s="281">
        <v>324.14285714285717</v>
      </c>
      <c r="CK51" s="281">
        <v>7178.8571428571431</v>
      </c>
      <c r="CL51" s="281">
        <v>100.85714285714286</v>
      </c>
      <c r="CM51" s="281">
        <v>561.14285714285711</v>
      </c>
      <c r="CN51" s="281">
        <v>1617</v>
      </c>
      <c r="CO51" s="281">
        <v>119.28571428571429</v>
      </c>
      <c r="CP51" s="281">
        <v>104.85714285714286</v>
      </c>
      <c r="CQ51" s="281">
        <v>293.42857142857144</v>
      </c>
      <c r="CR51" s="281">
        <v>156</v>
      </c>
      <c r="CS51" s="281">
        <v>10.142857142857142</v>
      </c>
      <c r="CT51" s="281">
        <v>156</v>
      </c>
      <c r="CU51" s="281">
        <v>3.8571428571428572</v>
      </c>
      <c r="CV51" s="281">
        <v>1.8571428571428572</v>
      </c>
      <c r="CW51" s="281">
        <v>3.7142857142857144</v>
      </c>
      <c r="CX51" s="281">
        <v>215497.71428571426</v>
      </c>
      <c r="DB51" s="19"/>
      <c r="DF51" s="19"/>
      <c r="DH51" s="19"/>
    </row>
    <row r="52" spans="1:112" ht="17.5" x14ac:dyDescent="0.45">
      <c r="A52" s="269" t="s">
        <v>86</v>
      </c>
      <c r="B52" s="281">
        <v>6.4285714285714288</v>
      </c>
      <c r="C52" s="281">
        <v>26</v>
      </c>
      <c r="D52" s="281">
        <v>1037.2857142857142</v>
      </c>
      <c r="E52" s="281">
        <v>22.285714285714285</v>
      </c>
      <c r="F52" s="281">
        <v>2350.4285714285716</v>
      </c>
      <c r="G52" s="281">
        <v>227.85714285714286</v>
      </c>
      <c r="H52" s="281">
        <v>353.42857142857144</v>
      </c>
      <c r="I52" s="281">
        <v>138.42857142857142</v>
      </c>
      <c r="J52" s="281">
        <v>82.142857142857139</v>
      </c>
      <c r="K52" s="281">
        <v>440.42857142857144</v>
      </c>
      <c r="L52" s="281">
        <v>114.14285714285714</v>
      </c>
      <c r="M52" s="281">
        <v>45.428571428571431</v>
      </c>
      <c r="N52" s="281">
        <v>396.57142857142856</v>
      </c>
      <c r="O52" s="281">
        <v>32.857142857142854</v>
      </c>
      <c r="P52" s="281">
        <v>94.714285714285708</v>
      </c>
      <c r="Q52" s="281">
        <v>3.1428571428571428</v>
      </c>
      <c r="R52" s="281">
        <v>49</v>
      </c>
      <c r="S52" s="281">
        <v>2</v>
      </c>
      <c r="T52" s="281">
        <v>15.142857142857142</v>
      </c>
      <c r="U52" s="281">
        <v>192</v>
      </c>
      <c r="V52" s="281">
        <v>430.71428571428572</v>
      </c>
      <c r="W52" s="281">
        <v>119.14285714285714</v>
      </c>
      <c r="X52" s="281">
        <v>2.2857142857142856</v>
      </c>
      <c r="Y52" s="281">
        <v>2676.4285714285716</v>
      </c>
      <c r="Z52" s="281">
        <v>2.8571428571428572</v>
      </c>
      <c r="AA52" s="281">
        <v>39.285714285714285</v>
      </c>
      <c r="AB52" s="281">
        <v>64.857142857142861</v>
      </c>
      <c r="AC52" s="281">
        <v>374.14285714285717</v>
      </c>
      <c r="AD52" s="281">
        <v>70036.571428571435</v>
      </c>
      <c r="AE52" s="281">
        <v>141.14285714285714</v>
      </c>
      <c r="AF52" s="281">
        <v>751.57142857142856</v>
      </c>
      <c r="AG52" s="281">
        <v>4.2857142857142856</v>
      </c>
      <c r="AH52" s="281">
        <v>13.428571428571429</v>
      </c>
      <c r="AI52" s="281">
        <v>28.571428571428573</v>
      </c>
      <c r="AJ52" s="281">
        <v>39.714285714285715</v>
      </c>
      <c r="AK52" s="281">
        <v>941.42857142857144</v>
      </c>
      <c r="AL52" s="281">
        <v>69.285714285714292</v>
      </c>
      <c r="AM52" s="281">
        <v>37</v>
      </c>
      <c r="AN52" s="281">
        <v>85.714285714285708</v>
      </c>
      <c r="AO52" s="281">
        <v>1</v>
      </c>
      <c r="AP52" s="302">
        <v>1.8571428571428572</v>
      </c>
      <c r="AQ52" s="281">
        <v>48.285714285714285</v>
      </c>
      <c r="AR52" s="281">
        <v>592.85714285714289</v>
      </c>
      <c r="AS52" s="281">
        <v>16.428571428571427</v>
      </c>
      <c r="AT52" s="281">
        <v>235.71428571428572</v>
      </c>
      <c r="AU52" s="281">
        <v>2</v>
      </c>
      <c r="AV52" s="281">
        <v>85.714285714285708</v>
      </c>
      <c r="AW52" s="281">
        <v>90</v>
      </c>
      <c r="AX52" s="281">
        <v>4.2857142857142856</v>
      </c>
      <c r="AY52" s="281">
        <v>44.857142857142854</v>
      </c>
      <c r="AZ52" s="281">
        <v>375</v>
      </c>
      <c r="BA52" s="281">
        <v>411.14285714285717</v>
      </c>
      <c r="BB52" s="281">
        <v>452.71428571428572</v>
      </c>
      <c r="BC52" s="281">
        <v>4141</v>
      </c>
      <c r="BD52" s="281">
        <v>24.571428571428573</v>
      </c>
      <c r="BE52" s="281">
        <v>7483.1428571428569</v>
      </c>
      <c r="BF52" s="281">
        <v>2.7142857142857144</v>
      </c>
      <c r="BG52" s="302">
        <v>60</v>
      </c>
      <c r="BH52" s="281">
        <v>22.285714285714285</v>
      </c>
      <c r="BI52" s="281">
        <v>80.428571428571431</v>
      </c>
      <c r="BJ52" s="281">
        <v>17340.285714285714</v>
      </c>
      <c r="BK52" s="281">
        <v>80.571428571428569</v>
      </c>
      <c r="BL52" s="281">
        <v>200.14285714285714</v>
      </c>
      <c r="BM52" s="281">
        <v>263.71428571428572</v>
      </c>
      <c r="BN52" s="281">
        <v>1297.1428571428571</v>
      </c>
      <c r="BO52" s="281">
        <v>785.42857142857144</v>
      </c>
      <c r="BP52" s="281">
        <v>918.57142857142856</v>
      </c>
      <c r="BQ52" s="281">
        <v>1339.2857142857142</v>
      </c>
      <c r="BR52" s="281">
        <v>1485.4285714285713</v>
      </c>
      <c r="BS52" s="281">
        <v>3</v>
      </c>
      <c r="BT52" s="281">
        <v>1771.5714285714287</v>
      </c>
      <c r="BU52" s="281">
        <v>10367.285714285714</v>
      </c>
      <c r="BV52" s="281">
        <v>2989.7142857142858</v>
      </c>
      <c r="BW52" s="281">
        <v>174.57142857142858</v>
      </c>
      <c r="BX52" s="281">
        <v>22114.714285714286</v>
      </c>
      <c r="BY52" s="281">
        <v>17.571428571428573</v>
      </c>
      <c r="BZ52" s="281">
        <v>8756.2857142857138</v>
      </c>
      <c r="CA52" s="281">
        <v>11.285714285714286</v>
      </c>
      <c r="CB52" s="281">
        <v>57.142857142857146</v>
      </c>
      <c r="CC52" s="281">
        <v>598.71428571428567</v>
      </c>
      <c r="CD52" s="281">
        <v>291.57142857142856</v>
      </c>
      <c r="CE52" s="281">
        <v>257.14285714285717</v>
      </c>
      <c r="CF52" s="281">
        <v>3</v>
      </c>
      <c r="CG52" s="281">
        <v>380.71428571428572</v>
      </c>
      <c r="CH52" s="281">
        <v>38.571428571428569</v>
      </c>
      <c r="CI52" s="281">
        <v>37659</v>
      </c>
      <c r="CJ52" s="281">
        <v>324.14285714285717</v>
      </c>
      <c r="CK52" s="281">
        <v>7178.8571428571431</v>
      </c>
      <c r="CL52" s="281">
        <v>100.85714285714286</v>
      </c>
      <c r="CM52" s="281">
        <v>561.14285714285711</v>
      </c>
      <c r="CN52" s="281">
        <v>1617</v>
      </c>
      <c r="CO52" s="281">
        <v>119.28571428571429</v>
      </c>
      <c r="CP52" s="281">
        <v>104.85714285714286</v>
      </c>
      <c r="CQ52" s="281">
        <v>293.42857142857144</v>
      </c>
      <c r="CR52" s="281">
        <v>156</v>
      </c>
      <c r="CS52" s="281">
        <v>10.142857142857142</v>
      </c>
      <c r="CT52" s="281">
        <v>156</v>
      </c>
      <c r="CU52" s="281">
        <v>3.8571428571428572</v>
      </c>
      <c r="CV52" s="281">
        <v>1.8571428571428572</v>
      </c>
      <c r="CW52" s="281">
        <v>3.7142857142857144</v>
      </c>
      <c r="CX52" s="281">
        <v>215497.71428571426</v>
      </c>
      <c r="DB52" s="19"/>
      <c r="DF52" s="19"/>
      <c r="DH52" s="19"/>
    </row>
    <row r="53" spans="1:112" ht="17.5" x14ac:dyDescent="0.45">
      <c r="A53" s="269" t="s">
        <v>87</v>
      </c>
      <c r="B53" s="281">
        <v>6.4285714285714288</v>
      </c>
      <c r="C53" s="281">
        <v>26</v>
      </c>
      <c r="D53" s="281">
        <v>1037.2857142857142</v>
      </c>
      <c r="E53" s="281">
        <v>22.285714285714285</v>
      </c>
      <c r="F53" s="281">
        <v>2350.4285714285716</v>
      </c>
      <c r="G53" s="281">
        <v>227.85714285714286</v>
      </c>
      <c r="H53" s="281">
        <v>353.42857142857144</v>
      </c>
      <c r="I53" s="281">
        <v>138.42857142857142</v>
      </c>
      <c r="J53" s="281">
        <v>82.142857142857139</v>
      </c>
      <c r="K53" s="281">
        <v>440.42857142857144</v>
      </c>
      <c r="L53" s="281">
        <v>114.14285714285714</v>
      </c>
      <c r="M53" s="281">
        <v>45.428571428571431</v>
      </c>
      <c r="N53" s="281">
        <v>396.57142857142856</v>
      </c>
      <c r="O53" s="281">
        <v>32.857142857142854</v>
      </c>
      <c r="P53" s="281">
        <v>94.714285714285708</v>
      </c>
      <c r="Q53" s="281">
        <v>3.1428571428571428</v>
      </c>
      <c r="R53" s="281">
        <v>49</v>
      </c>
      <c r="S53" s="281">
        <v>2</v>
      </c>
      <c r="T53" s="281">
        <v>15.142857142857142</v>
      </c>
      <c r="U53" s="281">
        <v>192</v>
      </c>
      <c r="V53" s="281">
        <v>430.71428571428572</v>
      </c>
      <c r="W53" s="281">
        <v>119.14285714285714</v>
      </c>
      <c r="X53" s="281">
        <v>2.2857142857142856</v>
      </c>
      <c r="Y53" s="281">
        <v>2676.4285714285716</v>
      </c>
      <c r="Z53" s="281">
        <v>2.8571428571428572</v>
      </c>
      <c r="AA53" s="281">
        <v>39.285714285714285</v>
      </c>
      <c r="AB53" s="281">
        <v>64.857142857142861</v>
      </c>
      <c r="AC53" s="281">
        <v>374.14285714285717</v>
      </c>
      <c r="AD53" s="281">
        <v>70036.571428571435</v>
      </c>
      <c r="AE53" s="281">
        <v>141.14285714285714</v>
      </c>
      <c r="AF53" s="281">
        <v>751.57142857142856</v>
      </c>
      <c r="AG53" s="281">
        <v>4.2857142857142856</v>
      </c>
      <c r="AH53" s="281">
        <v>13.428571428571429</v>
      </c>
      <c r="AI53" s="281">
        <v>28.571428571428573</v>
      </c>
      <c r="AJ53" s="281">
        <v>39.714285714285715</v>
      </c>
      <c r="AK53" s="281">
        <v>941.42857142857144</v>
      </c>
      <c r="AL53" s="281">
        <v>69.285714285714292</v>
      </c>
      <c r="AM53" s="281">
        <v>37</v>
      </c>
      <c r="AN53" s="281">
        <v>85.714285714285708</v>
      </c>
      <c r="AO53" s="281">
        <v>1</v>
      </c>
      <c r="AP53" s="302">
        <v>1.8571428571428572</v>
      </c>
      <c r="AQ53" s="281">
        <v>48.285714285714285</v>
      </c>
      <c r="AR53" s="281">
        <v>592.85714285714289</v>
      </c>
      <c r="AS53" s="281">
        <v>16.428571428571427</v>
      </c>
      <c r="AT53" s="281">
        <v>235.71428571428572</v>
      </c>
      <c r="AU53" s="281">
        <v>2</v>
      </c>
      <c r="AV53" s="281">
        <v>85.714285714285708</v>
      </c>
      <c r="AW53" s="281">
        <v>90</v>
      </c>
      <c r="AX53" s="281">
        <v>4.2857142857142856</v>
      </c>
      <c r="AY53" s="281">
        <v>44.857142857142854</v>
      </c>
      <c r="AZ53" s="281">
        <v>375</v>
      </c>
      <c r="BA53" s="281">
        <v>411.14285714285717</v>
      </c>
      <c r="BB53" s="281">
        <v>452.71428571428572</v>
      </c>
      <c r="BC53" s="281">
        <v>4141</v>
      </c>
      <c r="BD53" s="281">
        <v>24.571428571428573</v>
      </c>
      <c r="BE53" s="281">
        <v>7483.1428571428569</v>
      </c>
      <c r="BF53" s="281">
        <v>2.7142857142857144</v>
      </c>
      <c r="BG53" s="302">
        <v>60</v>
      </c>
      <c r="BH53" s="281">
        <v>22.285714285714285</v>
      </c>
      <c r="BI53" s="281">
        <v>80.428571428571431</v>
      </c>
      <c r="BJ53" s="281">
        <v>17340.285714285714</v>
      </c>
      <c r="BK53" s="281">
        <v>80.571428571428569</v>
      </c>
      <c r="BL53" s="281">
        <v>200.14285714285714</v>
      </c>
      <c r="BM53" s="281">
        <v>263.71428571428572</v>
      </c>
      <c r="BN53" s="281">
        <v>1297.1428571428571</v>
      </c>
      <c r="BO53" s="281">
        <v>785.42857142857144</v>
      </c>
      <c r="BP53" s="281">
        <v>918.57142857142856</v>
      </c>
      <c r="BQ53" s="281">
        <v>1339.2857142857142</v>
      </c>
      <c r="BR53" s="281">
        <v>1485.4285714285713</v>
      </c>
      <c r="BS53" s="281">
        <v>3</v>
      </c>
      <c r="BT53" s="281">
        <v>1771.5714285714287</v>
      </c>
      <c r="BU53" s="281">
        <v>10367.285714285714</v>
      </c>
      <c r="BV53" s="281">
        <v>2989.7142857142858</v>
      </c>
      <c r="BW53" s="281">
        <v>174.57142857142858</v>
      </c>
      <c r="BX53" s="281">
        <v>22114.714285714286</v>
      </c>
      <c r="BY53" s="281">
        <v>17.571428571428573</v>
      </c>
      <c r="BZ53" s="281">
        <v>8756.2857142857138</v>
      </c>
      <c r="CA53" s="281">
        <v>11.285714285714286</v>
      </c>
      <c r="CB53" s="281">
        <v>57.142857142857146</v>
      </c>
      <c r="CC53" s="281">
        <v>598.71428571428567</v>
      </c>
      <c r="CD53" s="281">
        <v>291.57142857142856</v>
      </c>
      <c r="CE53" s="281">
        <v>257.14285714285717</v>
      </c>
      <c r="CF53" s="281">
        <v>3</v>
      </c>
      <c r="CG53" s="281">
        <v>380.71428571428572</v>
      </c>
      <c r="CH53" s="281">
        <v>38.571428571428569</v>
      </c>
      <c r="CI53" s="281">
        <v>37659</v>
      </c>
      <c r="CJ53" s="281">
        <v>324.14285714285717</v>
      </c>
      <c r="CK53" s="281">
        <v>7178.8571428571431</v>
      </c>
      <c r="CL53" s="281">
        <v>100.85714285714286</v>
      </c>
      <c r="CM53" s="281">
        <v>561.14285714285711</v>
      </c>
      <c r="CN53" s="281">
        <v>1617</v>
      </c>
      <c r="CO53" s="281">
        <v>119.28571428571429</v>
      </c>
      <c r="CP53" s="281">
        <v>104.85714285714286</v>
      </c>
      <c r="CQ53" s="281">
        <v>293.42857142857144</v>
      </c>
      <c r="CR53" s="281">
        <v>156</v>
      </c>
      <c r="CS53" s="281">
        <v>10.142857142857142</v>
      </c>
      <c r="CT53" s="281">
        <v>156</v>
      </c>
      <c r="CU53" s="281">
        <v>3.8571428571428572</v>
      </c>
      <c r="CV53" s="281">
        <v>1.8571428571428572</v>
      </c>
      <c r="CW53" s="281">
        <v>3.7142857142857144</v>
      </c>
      <c r="CX53" s="281">
        <v>215497.71428571426</v>
      </c>
      <c r="DB53" s="19"/>
      <c r="DF53" s="19"/>
      <c r="DH53" s="19"/>
    </row>
    <row r="54" spans="1:112" ht="17.5" x14ac:dyDescent="0.45">
      <c r="A54" s="269" t="s">
        <v>88</v>
      </c>
      <c r="B54" s="281">
        <v>6.4285714285714288</v>
      </c>
      <c r="C54" s="281">
        <v>26</v>
      </c>
      <c r="D54" s="281">
        <v>1037.2857142857142</v>
      </c>
      <c r="E54" s="281">
        <v>22.285714285714285</v>
      </c>
      <c r="F54" s="281">
        <v>2350.4285714285716</v>
      </c>
      <c r="G54" s="281">
        <v>227.85714285714286</v>
      </c>
      <c r="H54" s="281">
        <v>353.42857142857144</v>
      </c>
      <c r="I54" s="281">
        <v>138.42857142857142</v>
      </c>
      <c r="J54" s="281">
        <v>82.142857142857139</v>
      </c>
      <c r="K54" s="281">
        <v>440.42857142857144</v>
      </c>
      <c r="L54" s="281">
        <v>114.14285714285714</v>
      </c>
      <c r="M54" s="281">
        <v>45.428571428571431</v>
      </c>
      <c r="N54" s="281">
        <v>396.57142857142856</v>
      </c>
      <c r="O54" s="281">
        <v>32.857142857142854</v>
      </c>
      <c r="P54" s="281">
        <v>94.714285714285708</v>
      </c>
      <c r="Q54" s="281">
        <v>3.1428571428571428</v>
      </c>
      <c r="R54" s="281">
        <v>49</v>
      </c>
      <c r="S54" s="281">
        <v>2</v>
      </c>
      <c r="T54" s="281">
        <v>15.142857142857142</v>
      </c>
      <c r="U54" s="281">
        <v>192</v>
      </c>
      <c r="V54" s="281">
        <v>430.71428571428572</v>
      </c>
      <c r="W54" s="281">
        <v>119.14285714285714</v>
      </c>
      <c r="X54" s="281">
        <v>2.2857142857142856</v>
      </c>
      <c r="Y54" s="281">
        <v>2676.4285714285716</v>
      </c>
      <c r="Z54" s="281">
        <v>2.8571428571428572</v>
      </c>
      <c r="AA54" s="281">
        <v>39.285714285714285</v>
      </c>
      <c r="AB54" s="281">
        <v>64.857142857142861</v>
      </c>
      <c r="AC54" s="281">
        <v>374.14285714285717</v>
      </c>
      <c r="AD54" s="281">
        <v>70036.571428571435</v>
      </c>
      <c r="AE54" s="281">
        <v>141.14285714285714</v>
      </c>
      <c r="AF54" s="281">
        <v>751.57142857142856</v>
      </c>
      <c r="AG54" s="281">
        <v>4.2857142857142856</v>
      </c>
      <c r="AH54" s="281">
        <v>13.428571428571429</v>
      </c>
      <c r="AI54" s="281">
        <v>28.571428571428573</v>
      </c>
      <c r="AJ54" s="281">
        <v>39.714285714285715</v>
      </c>
      <c r="AK54" s="281">
        <v>941.42857142857144</v>
      </c>
      <c r="AL54" s="281">
        <v>69.285714285714292</v>
      </c>
      <c r="AM54" s="281">
        <v>37</v>
      </c>
      <c r="AN54" s="281">
        <v>85.714285714285708</v>
      </c>
      <c r="AO54" s="281">
        <v>1</v>
      </c>
      <c r="AP54" s="302">
        <v>1.8571428571428572</v>
      </c>
      <c r="AQ54" s="281">
        <v>48.285714285714285</v>
      </c>
      <c r="AR54" s="281">
        <v>592.85714285714289</v>
      </c>
      <c r="AS54" s="281">
        <v>16.428571428571427</v>
      </c>
      <c r="AT54" s="281">
        <v>235.71428571428572</v>
      </c>
      <c r="AU54" s="281">
        <v>2</v>
      </c>
      <c r="AV54" s="281">
        <v>85.714285714285708</v>
      </c>
      <c r="AW54" s="281">
        <v>90</v>
      </c>
      <c r="AX54" s="281">
        <v>4.2857142857142856</v>
      </c>
      <c r="AY54" s="281">
        <v>44.857142857142854</v>
      </c>
      <c r="AZ54" s="281">
        <v>375</v>
      </c>
      <c r="BA54" s="281">
        <v>411.14285714285717</v>
      </c>
      <c r="BB54" s="281">
        <v>452.71428571428572</v>
      </c>
      <c r="BC54" s="281">
        <v>4141</v>
      </c>
      <c r="BD54" s="281">
        <v>24.571428571428573</v>
      </c>
      <c r="BE54" s="281">
        <v>7483.1428571428569</v>
      </c>
      <c r="BF54" s="281">
        <v>2.7142857142857144</v>
      </c>
      <c r="BG54" s="302">
        <v>60</v>
      </c>
      <c r="BH54" s="281">
        <v>22.285714285714285</v>
      </c>
      <c r="BI54" s="281">
        <v>80.428571428571431</v>
      </c>
      <c r="BJ54" s="281">
        <v>17340.285714285714</v>
      </c>
      <c r="BK54" s="281">
        <v>80.571428571428569</v>
      </c>
      <c r="BL54" s="281">
        <v>200.14285714285714</v>
      </c>
      <c r="BM54" s="281">
        <v>263.71428571428572</v>
      </c>
      <c r="BN54" s="281">
        <v>1297.1428571428571</v>
      </c>
      <c r="BO54" s="281">
        <v>785.42857142857144</v>
      </c>
      <c r="BP54" s="281">
        <v>918.57142857142856</v>
      </c>
      <c r="BQ54" s="281">
        <v>1339.2857142857142</v>
      </c>
      <c r="BR54" s="281">
        <v>1485.4285714285713</v>
      </c>
      <c r="BS54" s="281">
        <v>3</v>
      </c>
      <c r="BT54" s="281">
        <v>1771.5714285714287</v>
      </c>
      <c r="BU54" s="281">
        <v>10367.285714285714</v>
      </c>
      <c r="BV54" s="281">
        <v>2989.7142857142858</v>
      </c>
      <c r="BW54" s="281">
        <v>174.57142857142858</v>
      </c>
      <c r="BX54" s="281">
        <v>22114.714285714286</v>
      </c>
      <c r="BY54" s="281">
        <v>17.571428571428573</v>
      </c>
      <c r="BZ54" s="281">
        <v>8756.2857142857138</v>
      </c>
      <c r="CA54" s="281">
        <v>11.285714285714286</v>
      </c>
      <c r="CB54" s="281">
        <v>57.142857142857146</v>
      </c>
      <c r="CC54" s="281">
        <v>598.71428571428567</v>
      </c>
      <c r="CD54" s="281">
        <v>291.57142857142856</v>
      </c>
      <c r="CE54" s="281">
        <v>257.14285714285717</v>
      </c>
      <c r="CF54" s="281">
        <v>3</v>
      </c>
      <c r="CG54" s="281">
        <v>380.71428571428572</v>
      </c>
      <c r="CH54" s="281">
        <v>38.571428571428569</v>
      </c>
      <c r="CI54" s="281">
        <v>37659</v>
      </c>
      <c r="CJ54" s="281">
        <v>324.14285714285717</v>
      </c>
      <c r="CK54" s="281">
        <v>7178.8571428571431</v>
      </c>
      <c r="CL54" s="281">
        <v>100.85714285714286</v>
      </c>
      <c r="CM54" s="281">
        <v>561.14285714285711</v>
      </c>
      <c r="CN54" s="281">
        <v>1617</v>
      </c>
      <c r="CO54" s="281">
        <v>119.28571428571429</v>
      </c>
      <c r="CP54" s="281">
        <v>104.85714285714286</v>
      </c>
      <c r="CQ54" s="281">
        <v>293.42857142857144</v>
      </c>
      <c r="CR54" s="281">
        <v>156</v>
      </c>
      <c r="CS54" s="281">
        <v>10.142857142857142</v>
      </c>
      <c r="CT54" s="281">
        <v>156</v>
      </c>
      <c r="CU54" s="281">
        <v>3.8571428571428572</v>
      </c>
      <c r="CV54" s="281">
        <v>1.8571428571428572</v>
      </c>
      <c r="CW54" s="281">
        <v>3.7142857142857144</v>
      </c>
      <c r="CX54" s="281">
        <v>215497.71428571426</v>
      </c>
      <c r="DB54" s="19"/>
      <c r="DF54" s="19"/>
      <c r="DH54" s="19"/>
    </row>
    <row r="55" spans="1:112" ht="17.5" x14ac:dyDescent="0.45">
      <c r="A55" s="269" t="s">
        <v>89</v>
      </c>
      <c r="B55" s="281">
        <v>6.4285714285714288</v>
      </c>
      <c r="C55" s="281">
        <v>26</v>
      </c>
      <c r="D55" s="281">
        <v>1037.2857142857142</v>
      </c>
      <c r="E55" s="281">
        <v>22.285714285714285</v>
      </c>
      <c r="F55" s="281">
        <v>2350.4285714285716</v>
      </c>
      <c r="G55" s="281">
        <v>227.85714285714286</v>
      </c>
      <c r="H55" s="281">
        <v>353.42857142857144</v>
      </c>
      <c r="I55" s="281">
        <v>138.42857142857142</v>
      </c>
      <c r="J55" s="281">
        <v>82.142857142857139</v>
      </c>
      <c r="K55" s="281">
        <v>440.42857142857144</v>
      </c>
      <c r="L55" s="281">
        <v>114.14285714285714</v>
      </c>
      <c r="M55" s="281">
        <v>45.428571428571431</v>
      </c>
      <c r="N55" s="281">
        <v>396.57142857142856</v>
      </c>
      <c r="O55" s="281">
        <v>32.857142857142854</v>
      </c>
      <c r="P55" s="281">
        <v>94.714285714285708</v>
      </c>
      <c r="Q55" s="281">
        <v>3.1428571428571428</v>
      </c>
      <c r="R55" s="281">
        <v>49</v>
      </c>
      <c r="S55" s="281">
        <v>2</v>
      </c>
      <c r="T55" s="281">
        <v>15.142857142857142</v>
      </c>
      <c r="U55" s="281">
        <v>192</v>
      </c>
      <c r="V55" s="281">
        <v>430.71428571428572</v>
      </c>
      <c r="W55" s="281">
        <v>119.14285714285714</v>
      </c>
      <c r="X55" s="281">
        <v>2.2857142857142856</v>
      </c>
      <c r="Y55" s="281">
        <v>2676.4285714285716</v>
      </c>
      <c r="Z55" s="281">
        <v>2.8571428571428572</v>
      </c>
      <c r="AA55" s="281">
        <v>39.285714285714285</v>
      </c>
      <c r="AB55" s="281">
        <v>64.857142857142861</v>
      </c>
      <c r="AC55" s="281">
        <v>374.14285714285717</v>
      </c>
      <c r="AD55" s="281">
        <v>70036.571428571435</v>
      </c>
      <c r="AE55" s="281">
        <v>141.14285714285714</v>
      </c>
      <c r="AF55" s="281">
        <v>751.57142857142856</v>
      </c>
      <c r="AG55" s="281">
        <v>4.2857142857142856</v>
      </c>
      <c r="AH55" s="281">
        <v>13.428571428571429</v>
      </c>
      <c r="AI55" s="281">
        <v>28.571428571428573</v>
      </c>
      <c r="AJ55" s="281">
        <v>39.714285714285715</v>
      </c>
      <c r="AK55" s="281">
        <v>941.42857142857144</v>
      </c>
      <c r="AL55" s="281">
        <v>69.285714285714292</v>
      </c>
      <c r="AM55" s="281">
        <v>37</v>
      </c>
      <c r="AN55" s="281">
        <v>85.714285714285708</v>
      </c>
      <c r="AO55" s="281">
        <v>1</v>
      </c>
      <c r="AP55" s="302">
        <v>1.8571428571428572</v>
      </c>
      <c r="AQ55" s="281">
        <v>48.285714285714285</v>
      </c>
      <c r="AR55" s="281">
        <v>592.85714285714289</v>
      </c>
      <c r="AS55" s="281">
        <v>16.428571428571427</v>
      </c>
      <c r="AT55" s="281">
        <v>235.71428571428572</v>
      </c>
      <c r="AU55" s="281">
        <v>2</v>
      </c>
      <c r="AV55" s="281">
        <v>85.714285714285708</v>
      </c>
      <c r="AW55" s="281">
        <v>90</v>
      </c>
      <c r="AX55" s="281">
        <v>4.2857142857142856</v>
      </c>
      <c r="AY55" s="281">
        <v>44.857142857142854</v>
      </c>
      <c r="AZ55" s="281">
        <v>375</v>
      </c>
      <c r="BA55" s="281">
        <v>411.14285714285717</v>
      </c>
      <c r="BB55" s="281">
        <v>452.71428571428572</v>
      </c>
      <c r="BC55" s="281">
        <v>4141</v>
      </c>
      <c r="BD55" s="281">
        <v>24.571428571428573</v>
      </c>
      <c r="BE55" s="281">
        <v>7483.1428571428569</v>
      </c>
      <c r="BF55" s="281">
        <v>2.7142857142857144</v>
      </c>
      <c r="BG55" s="302">
        <v>60</v>
      </c>
      <c r="BH55" s="281">
        <v>22.285714285714285</v>
      </c>
      <c r="BI55" s="281">
        <v>80.428571428571431</v>
      </c>
      <c r="BJ55" s="281">
        <v>17340.285714285714</v>
      </c>
      <c r="BK55" s="281">
        <v>80.571428571428569</v>
      </c>
      <c r="BL55" s="281">
        <v>200.14285714285714</v>
      </c>
      <c r="BM55" s="281">
        <v>263.71428571428572</v>
      </c>
      <c r="BN55" s="281">
        <v>1297.1428571428571</v>
      </c>
      <c r="BO55" s="281">
        <v>785.42857142857144</v>
      </c>
      <c r="BP55" s="281">
        <v>918.57142857142856</v>
      </c>
      <c r="BQ55" s="281">
        <v>1339.2857142857142</v>
      </c>
      <c r="BR55" s="281">
        <v>1485.4285714285713</v>
      </c>
      <c r="BS55" s="281">
        <v>3</v>
      </c>
      <c r="BT55" s="281">
        <v>1771.5714285714287</v>
      </c>
      <c r="BU55" s="281">
        <v>10367.285714285714</v>
      </c>
      <c r="BV55" s="281">
        <v>2989.7142857142858</v>
      </c>
      <c r="BW55" s="281">
        <v>174.57142857142858</v>
      </c>
      <c r="BX55" s="281">
        <v>22114.714285714286</v>
      </c>
      <c r="BY55" s="281">
        <v>17.571428571428573</v>
      </c>
      <c r="BZ55" s="281">
        <v>8756.2857142857138</v>
      </c>
      <c r="CA55" s="281">
        <v>11.285714285714286</v>
      </c>
      <c r="CB55" s="281">
        <v>57.142857142857146</v>
      </c>
      <c r="CC55" s="281">
        <v>598.71428571428567</v>
      </c>
      <c r="CD55" s="281">
        <v>291.57142857142856</v>
      </c>
      <c r="CE55" s="281">
        <v>257.14285714285717</v>
      </c>
      <c r="CF55" s="281">
        <v>3</v>
      </c>
      <c r="CG55" s="281">
        <v>380.71428571428572</v>
      </c>
      <c r="CH55" s="281">
        <v>38.571428571428569</v>
      </c>
      <c r="CI55" s="281">
        <v>37659</v>
      </c>
      <c r="CJ55" s="281">
        <v>324.14285714285717</v>
      </c>
      <c r="CK55" s="281">
        <v>7178.8571428571431</v>
      </c>
      <c r="CL55" s="281">
        <v>100.85714285714286</v>
      </c>
      <c r="CM55" s="281">
        <v>561.14285714285711</v>
      </c>
      <c r="CN55" s="281">
        <v>1617</v>
      </c>
      <c r="CO55" s="281">
        <v>119.28571428571429</v>
      </c>
      <c r="CP55" s="281">
        <v>104.85714285714286</v>
      </c>
      <c r="CQ55" s="281">
        <v>293.42857142857144</v>
      </c>
      <c r="CR55" s="281">
        <v>156</v>
      </c>
      <c r="CS55" s="281">
        <v>10.142857142857142</v>
      </c>
      <c r="CT55" s="281">
        <v>156</v>
      </c>
      <c r="CU55" s="281">
        <v>3.8571428571428572</v>
      </c>
      <c r="CV55" s="281">
        <v>1.8571428571428572</v>
      </c>
      <c r="CW55" s="281">
        <v>3.7142857142857144</v>
      </c>
      <c r="CX55" s="281">
        <v>215497.71428571426</v>
      </c>
      <c r="DB55" s="19"/>
      <c r="DF55" s="19"/>
      <c r="DH55" s="19"/>
    </row>
    <row r="56" spans="1:112" ht="18" thickBot="1" x14ac:dyDescent="0.5">
      <c r="A56" s="269" t="s">
        <v>90</v>
      </c>
      <c r="B56" s="281">
        <v>6.4285714285714288</v>
      </c>
      <c r="C56" s="281">
        <v>26</v>
      </c>
      <c r="D56" s="281">
        <v>1037.2857142857142</v>
      </c>
      <c r="E56" s="281">
        <v>22.285714285714285</v>
      </c>
      <c r="F56" s="281">
        <v>2350.4285714285716</v>
      </c>
      <c r="G56" s="281">
        <v>227.85714285714286</v>
      </c>
      <c r="H56" s="281">
        <v>353.42857142857144</v>
      </c>
      <c r="I56" s="281">
        <v>138.42857142857142</v>
      </c>
      <c r="J56" s="281">
        <v>82.142857142857139</v>
      </c>
      <c r="K56" s="281">
        <v>440.42857142857144</v>
      </c>
      <c r="L56" s="281">
        <v>114.14285714285714</v>
      </c>
      <c r="M56" s="281">
        <v>45.428571428571431</v>
      </c>
      <c r="N56" s="281">
        <v>396.57142857142856</v>
      </c>
      <c r="O56" s="281">
        <v>32.857142857142854</v>
      </c>
      <c r="P56" s="281">
        <v>94.714285714285708</v>
      </c>
      <c r="Q56" s="281">
        <v>3.1428571428571428</v>
      </c>
      <c r="R56" s="281">
        <v>49</v>
      </c>
      <c r="S56" s="281">
        <v>2</v>
      </c>
      <c r="T56" s="281">
        <v>15.142857142857142</v>
      </c>
      <c r="U56" s="281">
        <v>192</v>
      </c>
      <c r="V56" s="281">
        <v>430.71428571428572</v>
      </c>
      <c r="W56" s="281">
        <v>119.14285714285714</v>
      </c>
      <c r="X56" s="281">
        <v>2.2857142857142856</v>
      </c>
      <c r="Y56" s="281">
        <v>2676.4285714285716</v>
      </c>
      <c r="Z56" s="281">
        <v>2.8571428571428572</v>
      </c>
      <c r="AA56" s="334">
        <v>39.285714285714285</v>
      </c>
      <c r="AB56" s="281">
        <v>64.857142857142861</v>
      </c>
      <c r="AC56" s="281">
        <v>374.14285714285717</v>
      </c>
      <c r="AD56" s="281">
        <v>70036.571428571435</v>
      </c>
      <c r="AE56" s="281">
        <v>141.14285714285714</v>
      </c>
      <c r="AF56" s="281">
        <v>751.57142857142856</v>
      </c>
      <c r="AG56" s="281">
        <v>4.2857142857142856</v>
      </c>
      <c r="AH56" s="281">
        <v>13.428571428571429</v>
      </c>
      <c r="AI56" s="281">
        <v>28.571428571428573</v>
      </c>
      <c r="AJ56" s="281">
        <v>39.714285714285715</v>
      </c>
      <c r="AK56" s="281">
        <v>941.42857142857144</v>
      </c>
      <c r="AL56" s="281">
        <v>69.285714285714292</v>
      </c>
      <c r="AM56" s="281">
        <v>37</v>
      </c>
      <c r="AN56" s="281">
        <v>85.714285714285708</v>
      </c>
      <c r="AO56" s="281">
        <v>1</v>
      </c>
      <c r="AP56" s="302">
        <v>1.8571428571428572</v>
      </c>
      <c r="AQ56" s="281">
        <v>48.285714285714285</v>
      </c>
      <c r="AR56" s="281">
        <v>592.85714285714289</v>
      </c>
      <c r="AS56" s="281">
        <v>16.428571428571427</v>
      </c>
      <c r="AT56" s="334">
        <v>235.71428571428572</v>
      </c>
      <c r="AU56" s="281">
        <v>2</v>
      </c>
      <c r="AV56" s="281">
        <v>85.714285714285708</v>
      </c>
      <c r="AW56" s="281">
        <v>90</v>
      </c>
      <c r="AX56" s="281">
        <v>4.2857142857142856</v>
      </c>
      <c r="AY56" s="281">
        <v>44.857142857142854</v>
      </c>
      <c r="AZ56" s="281">
        <v>375</v>
      </c>
      <c r="BA56" s="281">
        <v>411.14285714285717</v>
      </c>
      <c r="BB56" s="281">
        <v>452.71428571428572</v>
      </c>
      <c r="BC56" s="281">
        <v>4141</v>
      </c>
      <c r="BD56" s="281">
        <v>24.571428571428573</v>
      </c>
      <c r="BE56" s="281">
        <v>7483.1428571428569</v>
      </c>
      <c r="BF56" s="281">
        <v>2.7142857142857144</v>
      </c>
      <c r="BG56" s="302">
        <v>60</v>
      </c>
      <c r="BH56" s="281">
        <v>22.285714285714285</v>
      </c>
      <c r="BI56" s="281">
        <v>80.428571428571431</v>
      </c>
      <c r="BJ56" s="281">
        <v>17340.285714285714</v>
      </c>
      <c r="BK56" s="281">
        <v>80.571428571428569</v>
      </c>
      <c r="BL56" s="281">
        <v>200.14285714285714</v>
      </c>
      <c r="BM56" s="281">
        <v>263.71428571428572</v>
      </c>
      <c r="BN56" s="281">
        <v>1297.1428571428571</v>
      </c>
      <c r="BO56" s="281">
        <v>785.42857142857144</v>
      </c>
      <c r="BP56" s="281">
        <v>918.57142857142856</v>
      </c>
      <c r="BQ56" s="281">
        <v>1339.2857142857142</v>
      </c>
      <c r="BR56" s="281">
        <v>1485.4285714285713</v>
      </c>
      <c r="BS56" s="281">
        <v>3</v>
      </c>
      <c r="BT56" s="281">
        <v>1771.5714285714287</v>
      </c>
      <c r="BU56" s="281">
        <v>10367.285714285714</v>
      </c>
      <c r="BV56" s="281">
        <v>2989.7142857142858</v>
      </c>
      <c r="BW56" s="281">
        <v>174.57142857142858</v>
      </c>
      <c r="BX56" s="281">
        <v>22114.714285714286</v>
      </c>
      <c r="BY56" s="281">
        <v>17.571428571428573</v>
      </c>
      <c r="BZ56" s="281">
        <v>8756.2857142857138</v>
      </c>
      <c r="CA56" s="281">
        <v>11.285714285714286</v>
      </c>
      <c r="CB56" s="281">
        <v>57.142857142857146</v>
      </c>
      <c r="CC56" s="281">
        <v>598.71428571428567</v>
      </c>
      <c r="CD56" s="281">
        <v>291.57142857142856</v>
      </c>
      <c r="CE56" s="281">
        <v>257.14285714285717</v>
      </c>
      <c r="CF56" s="281">
        <v>3</v>
      </c>
      <c r="CG56" s="281">
        <v>380.71428571428572</v>
      </c>
      <c r="CH56" s="281">
        <v>38.571428571428569</v>
      </c>
      <c r="CI56" s="281">
        <v>37659</v>
      </c>
      <c r="CJ56" s="281">
        <v>324.14285714285717</v>
      </c>
      <c r="CK56" s="281">
        <v>7178.8571428571431</v>
      </c>
      <c r="CL56" s="281">
        <v>100.85714285714286</v>
      </c>
      <c r="CM56" s="281">
        <v>561.14285714285711</v>
      </c>
      <c r="CN56" s="281">
        <v>1617</v>
      </c>
      <c r="CO56" s="281">
        <v>119.28571428571429</v>
      </c>
      <c r="CP56" s="281">
        <v>104.85714285714286</v>
      </c>
      <c r="CQ56" s="281">
        <v>293.42857142857144</v>
      </c>
      <c r="CR56" s="281">
        <v>156</v>
      </c>
      <c r="CS56" s="281">
        <v>10.142857142857142</v>
      </c>
      <c r="CT56" s="281">
        <v>156</v>
      </c>
      <c r="CU56" s="281">
        <v>3.8571428571428572</v>
      </c>
      <c r="CV56" s="281">
        <v>1.8571428571428572</v>
      </c>
      <c r="CW56" s="281">
        <v>3.7142857142857144</v>
      </c>
      <c r="CX56" s="281">
        <v>215497.71428571426</v>
      </c>
      <c r="DB56" s="19"/>
      <c r="DF56" s="19"/>
      <c r="DH56" s="19"/>
    </row>
    <row r="57" spans="1:112" ht="17.5" x14ac:dyDescent="0.45">
      <c r="A57" s="269" t="s">
        <v>91</v>
      </c>
      <c r="B57" s="285">
        <v>252.5714285714285</v>
      </c>
      <c r="C57" s="285">
        <v>3624</v>
      </c>
      <c r="D57" s="285">
        <v>64531.571428571457</v>
      </c>
      <c r="E57" s="285">
        <v>934.57142857142901</v>
      </c>
      <c r="F57" s="285">
        <v>117345.85714285709</v>
      </c>
      <c r="G57" s="285">
        <v>11291.885714285716</v>
      </c>
      <c r="H57" s="285">
        <v>15150.857142857136</v>
      </c>
      <c r="I57" s="285">
        <v>8325.8571428571431</v>
      </c>
      <c r="J57" s="285">
        <v>4343.2857142857147</v>
      </c>
      <c r="K57" s="285">
        <v>27740.857142857152</v>
      </c>
      <c r="L57" s="285">
        <v>4763.2857142857138</v>
      </c>
      <c r="M57" s="285">
        <v>1652.857142857142</v>
      </c>
      <c r="N57" s="285">
        <v>28189.142857142848</v>
      </c>
      <c r="O57" s="285">
        <v>3324.142857142856</v>
      </c>
      <c r="P57" s="285">
        <v>4306.4285714285706</v>
      </c>
      <c r="Q57" s="285">
        <v>270.85714285714295</v>
      </c>
      <c r="R57" s="285">
        <v>2281</v>
      </c>
      <c r="S57" s="285">
        <v>156</v>
      </c>
      <c r="T57" s="285">
        <v>1177.285714285714</v>
      </c>
      <c r="U57" s="285">
        <v>6426</v>
      </c>
      <c r="V57" s="285">
        <v>25372.428571428576</v>
      </c>
      <c r="W57" s="285">
        <v>6043.2857142857119</v>
      </c>
      <c r="X57" s="285">
        <v>1069.2742857142853</v>
      </c>
      <c r="Y57" s="285">
        <v>408415.85714285722</v>
      </c>
      <c r="Z57" s="285">
        <v>464.142857142857</v>
      </c>
      <c r="AA57" s="302">
        <v>2130.571428571428</v>
      </c>
      <c r="AB57" s="285">
        <v>3010.714285714284</v>
      </c>
      <c r="AC57" s="285">
        <v>28653.285714285728</v>
      </c>
      <c r="AD57" s="285">
        <v>4437516.1428571437</v>
      </c>
      <c r="AE57" s="285">
        <v>8590.2857142857119</v>
      </c>
      <c r="AF57" s="285">
        <v>46456.142857142848</v>
      </c>
      <c r="AG57" s="285">
        <v>917.71428571428601</v>
      </c>
      <c r="AH57" s="285">
        <v>660.68571428571443</v>
      </c>
      <c r="AI57" s="285">
        <v>611.42857142857133</v>
      </c>
      <c r="AJ57" s="285">
        <v>2433.428571428572</v>
      </c>
      <c r="AK57" s="285">
        <v>57327.857142857152</v>
      </c>
      <c r="AL57" s="285">
        <v>6072.7142857142881</v>
      </c>
      <c r="AM57" s="285">
        <v>1556</v>
      </c>
      <c r="AN57" s="285">
        <v>10695.428571428576</v>
      </c>
      <c r="AO57" s="285">
        <v>125.80999999999999</v>
      </c>
      <c r="AP57" s="285">
        <v>322.93285714285696</v>
      </c>
      <c r="AQ57" s="285">
        <v>1511.571428571428</v>
      </c>
      <c r="AR57" s="285">
        <v>38921.714285714304</v>
      </c>
      <c r="AS57" s="285">
        <v>901.857142857143</v>
      </c>
      <c r="AT57" s="281">
        <v>12709.428571428576</v>
      </c>
      <c r="AU57" s="285">
        <v>140</v>
      </c>
      <c r="AV57" s="285">
        <v>3949.7166276346611</v>
      </c>
      <c r="AW57" s="285">
        <v>3726.7119437939114</v>
      </c>
      <c r="AX57" s="285">
        <v>643.80000000000018</v>
      </c>
      <c r="AY57" s="285">
        <v>1989.0982142857144</v>
      </c>
      <c r="AZ57" s="285">
        <v>28243</v>
      </c>
      <c r="BA57" s="285">
        <v>16452.285714285714</v>
      </c>
      <c r="BB57" s="285">
        <v>25825.428571428576</v>
      </c>
      <c r="BC57" s="285">
        <v>257672</v>
      </c>
      <c r="BD57" s="285">
        <v>1245.142857142858</v>
      </c>
      <c r="BE57" s="285">
        <v>488949.28571428556</v>
      </c>
      <c r="BF57" s="285">
        <v>145.28571428571433</v>
      </c>
      <c r="BG57" s="285">
        <v>1940</v>
      </c>
      <c r="BH57" s="285">
        <v>1185.5714285714282</v>
      </c>
      <c r="BI57" s="285">
        <v>6756.857142857144</v>
      </c>
      <c r="BJ57" s="285">
        <v>997439.57142857113</v>
      </c>
      <c r="BK57" s="285">
        <v>3678.142857142856</v>
      </c>
      <c r="BL57" s="285">
        <v>11973.901785714284</v>
      </c>
      <c r="BM57" s="285">
        <v>18065.428571428576</v>
      </c>
      <c r="BN57" s="285">
        <v>78939.285714285696</v>
      </c>
      <c r="BO57" s="285">
        <v>53033.857142857152</v>
      </c>
      <c r="BP57" s="285">
        <v>46227.142857142848</v>
      </c>
      <c r="BQ57" s="285">
        <v>75358.571428571406</v>
      </c>
      <c r="BR57" s="285">
        <v>87637.857142857087</v>
      </c>
      <c r="BS57" s="285">
        <v>284</v>
      </c>
      <c r="BT57" s="285">
        <v>108571.14285714291</v>
      </c>
      <c r="BU57" s="285">
        <v>638339.57142857113</v>
      </c>
      <c r="BV57" s="285">
        <v>200987.42857142861</v>
      </c>
      <c r="BW57" s="285">
        <v>12788.142857142864</v>
      </c>
      <c r="BX57" s="285">
        <v>1348095.4285714289</v>
      </c>
      <c r="BY57" s="285">
        <v>1229.428571428572</v>
      </c>
      <c r="BZ57" s="285">
        <v>599227.57142857113</v>
      </c>
      <c r="CA57" s="285">
        <v>1042.0808035714285</v>
      </c>
      <c r="CB57" s="285">
        <v>5316.7763392857114</v>
      </c>
      <c r="CC57" s="285">
        <v>36774.428571428551</v>
      </c>
      <c r="CD57" s="285">
        <v>19540.142857142848</v>
      </c>
      <c r="CE57" s="285">
        <v>13864.285714285712</v>
      </c>
      <c r="CF57" s="285">
        <v>171</v>
      </c>
      <c r="CG57" s="285">
        <v>28280.428571428576</v>
      </c>
      <c r="CH57" s="285">
        <v>1138.4285714285716</v>
      </c>
      <c r="CI57" s="285">
        <v>3175413</v>
      </c>
      <c r="CJ57" s="285">
        <v>11272.285714285712</v>
      </c>
      <c r="CK57" s="285">
        <v>423273.71428571444</v>
      </c>
      <c r="CL57" s="285">
        <v>10505.714285714288</v>
      </c>
      <c r="CM57" s="285">
        <v>39466.285714285696</v>
      </c>
      <c r="CN57" s="285">
        <v>89050</v>
      </c>
      <c r="CO57" s="285">
        <v>7499.5714285714321</v>
      </c>
      <c r="CP57" s="285">
        <v>2790.7142857142844</v>
      </c>
      <c r="CQ57" s="285">
        <v>21196.230476190485</v>
      </c>
      <c r="CR57" s="285">
        <v>9157.626666666667</v>
      </c>
      <c r="CS57" s="285">
        <v>3040.285714285716</v>
      </c>
      <c r="CT57" s="285">
        <v>9700.914285714287</v>
      </c>
      <c r="CU57" s="285">
        <v>357.142857142857</v>
      </c>
      <c r="CV57" s="285">
        <v>85.142857142857167</v>
      </c>
      <c r="CW57" s="285">
        <v>225.4285714285715</v>
      </c>
      <c r="CX57" s="285">
        <v>14438481.302857144</v>
      </c>
      <c r="DB57" s="19"/>
      <c r="DF57" s="19"/>
      <c r="DH57" s="19"/>
    </row>
    <row r="58" spans="1:112" ht="17.5" x14ac:dyDescent="0.45">
      <c r="A58" s="269" t="s">
        <v>92</v>
      </c>
      <c r="B58" s="281">
        <v>6.4285714285714288</v>
      </c>
      <c r="C58" s="281">
        <v>26</v>
      </c>
      <c r="D58" s="281">
        <v>1037.2857142857142</v>
      </c>
      <c r="E58" s="281">
        <v>22.285714285714285</v>
      </c>
      <c r="F58" s="281">
        <v>2350.4285714285716</v>
      </c>
      <c r="G58" s="281">
        <v>227.85714285714286</v>
      </c>
      <c r="H58" s="281">
        <v>353.42857142857144</v>
      </c>
      <c r="I58" s="281">
        <v>138.42857142857142</v>
      </c>
      <c r="J58" s="281">
        <v>82.142857142857139</v>
      </c>
      <c r="K58" s="281">
        <v>440.42857142857144</v>
      </c>
      <c r="L58" s="281">
        <v>114.14285714285714</v>
      </c>
      <c r="M58" s="281">
        <v>45.428571428571431</v>
      </c>
      <c r="N58" s="281">
        <v>396.57142857142856</v>
      </c>
      <c r="O58" s="281">
        <v>32.857142857142854</v>
      </c>
      <c r="P58" s="281">
        <v>94.714285714285708</v>
      </c>
      <c r="Q58" s="281">
        <v>3.1428571428571428</v>
      </c>
      <c r="R58" s="281">
        <v>49</v>
      </c>
      <c r="S58" s="281">
        <v>2</v>
      </c>
      <c r="T58" s="281">
        <v>15.142857142857142</v>
      </c>
      <c r="U58" s="281">
        <v>192</v>
      </c>
      <c r="V58" s="281">
        <v>430.71428571428572</v>
      </c>
      <c r="W58" s="281">
        <v>119.14285714285714</v>
      </c>
      <c r="X58" s="281">
        <v>2.2857142857142856</v>
      </c>
      <c r="Y58" s="281">
        <v>2676.4285714285716</v>
      </c>
      <c r="Z58" s="281">
        <v>2.8571428571428572</v>
      </c>
      <c r="AA58" s="281">
        <v>39.285714285714285</v>
      </c>
      <c r="AB58" s="281">
        <v>64.857142857142861</v>
      </c>
      <c r="AC58" s="281">
        <v>374.14285714285717</v>
      </c>
      <c r="AD58" s="281">
        <v>70036.571428571435</v>
      </c>
      <c r="AE58" s="281">
        <v>141.14285714285714</v>
      </c>
      <c r="AF58" s="281">
        <v>751.57142857142856</v>
      </c>
      <c r="AG58" s="281">
        <v>4.2857142857142856</v>
      </c>
      <c r="AH58" s="281">
        <v>13.428571428571429</v>
      </c>
      <c r="AI58" s="281">
        <v>28.571428571428573</v>
      </c>
      <c r="AJ58" s="281">
        <v>39.714285714285715</v>
      </c>
      <c r="AK58" s="281">
        <v>941.42857142857144</v>
      </c>
      <c r="AL58" s="281">
        <v>69.285714285714292</v>
      </c>
      <c r="AM58" s="281">
        <v>37</v>
      </c>
      <c r="AN58" s="281">
        <v>85.714285714285708</v>
      </c>
      <c r="AO58" s="281">
        <v>1</v>
      </c>
      <c r="AP58" s="281">
        <v>1.8571428571428572</v>
      </c>
      <c r="AQ58" s="281">
        <v>48.285714285714285</v>
      </c>
      <c r="AR58" s="281">
        <v>592.85714285714289</v>
      </c>
      <c r="AS58" s="281">
        <v>16.428571428571427</v>
      </c>
      <c r="AT58" s="281">
        <v>235.71428571428572</v>
      </c>
      <c r="AU58" s="281">
        <v>2</v>
      </c>
      <c r="AV58" s="281">
        <v>85.714285714285708</v>
      </c>
      <c r="AW58" s="281">
        <v>90</v>
      </c>
      <c r="AX58" s="281">
        <v>4.2857142857142856</v>
      </c>
      <c r="AY58" s="281">
        <v>44.857142857142854</v>
      </c>
      <c r="AZ58" s="281">
        <v>375</v>
      </c>
      <c r="BA58" s="281">
        <v>411.14285714285717</v>
      </c>
      <c r="BB58" s="281">
        <v>452.71428571428572</v>
      </c>
      <c r="BC58" s="281">
        <v>4141</v>
      </c>
      <c r="BD58" s="281">
        <v>24.571428571428573</v>
      </c>
      <c r="BE58" s="281">
        <v>7483.1428571428569</v>
      </c>
      <c r="BF58" s="281">
        <v>2.7142857142857144</v>
      </c>
      <c r="BG58" s="281">
        <v>60</v>
      </c>
      <c r="BH58" s="281">
        <v>22.285714285714285</v>
      </c>
      <c r="BI58" s="281">
        <v>80.428571428571431</v>
      </c>
      <c r="BJ58" s="281">
        <v>17340.285714285714</v>
      </c>
      <c r="BK58" s="281">
        <v>80.571428571428569</v>
      </c>
      <c r="BL58" s="281">
        <v>200.14285714285714</v>
      </c>
      <c r="BM58" s="281">
        <v>263.71428571428572</v>
      </c>
      <c r="BN58" s="281">
        <v>1297.1428571428571</v>
      </c>
      <c r="BO58" s="281">
        <v>785.42857142857144</v>
      </c>
      <c r="BP58" s="281">
        <v>918.57142857142856</v>
      </c>
      <c r="BQ58" s="281">
        <v>1339.2857142857142</v>
      </c>
      <c r="BR58" s="281">
        <v>1485.4285714285713</v>
      </c>
      <c r="BS58" s="281">
        <v>3</v>
      </c>
      <c r="BT58" s="281">
        <v>1771.5714285714287</v>
      </c>
      <c r="BU58" s="281">
        <v>10367.285714285714</v>
      </c>
      <c r="BV58" s="281">
        <v>2989.7142857142858</v>
      </c>
      <c r="BW58" s="281">
        <v>174.57142857142858</v>
      </c>
      <c r="BX58" s="281">
        <v>22114.714285714286</v>
      </c>
      <c r="BY58" s="281">
        <v>17.571428571428573</v>
      </c>
      <c r="BZ58" s="281">
        <v>8756.2857142857138</v>
      </c>
      <c r="CA58" s="281">
        <v>11.285714285714286</v>
      </c>
      <c r="CB58" s="281">
        <v>57.142857142857146</v>
      </c>
      <c r="CC58" s="281">
        <v>598.71428571428567</v>
      </c>
      <c r="CD58" s="281">
        <v>291.57142857142856</v>
      </c>
      <c r="CE58" s="281">
        <v>257.14285714285717</v>
      </c>
      <c r="CF58" s="281">
        <v>3</v>
      </c>
      <c r="CG58" s="281">
        <v>380.71428571428572</v>
      </c>
      <c r="CH58" s="281">
        <v>38.571428571428569</v>
      </c>
      <c r="CI58" s="281">
        <v>37659</v>
      </c>
      <c r="CJ58" s="281">
        <v>324.14285714285717</v>
      </c>
      <c r="CK58" s="281">
        <v>7178.8571428571431</v>
      </c>
      <c r="CL58" s="281">
        <v>100.85714285714286</v>
      </c>
      <c r="CM58" s="281">
        <v>561.14285714285711</v>
      </c>
      <c r="CN58" s="281">
        <v>1617</v>
      </c>
      <c r="CO58" s="281">
        <v>119.28571428571429</v>
      </c>
      <c r="CP58" s="281">
        <v>104.85714285714286</v>
      </c>
      <c r="CQ58" s="281">
        <v>293.42857142857144</v>
      </c>
      <c r="CR58" s="281">
        <v>156</v>
      </c>
      <c r="CS58" s="281">
        <v>10.142857142857142</v>
      </c>
      <c r="CT58" s="281">
        <v>156</v>
      </c>
      <c r="CU58" s="281">
        <v>3.8571428571428572</v>
      </c>
      <c r="CV58" s="281">
        <v>1.8571428571428572</v>
      </c>
      <c r="CW58" s="281">
        <v>3.7142857142857144</v>
      </c>
      <c r="CX58" s="281">
        <v>215497.71428571426</v>
      </c>
      <c r="DB58" s="19"/>
      <c r="DF58" s="19"/>
      <c r="DH58" s="19"/>
    </row>
    <row r="59" spans="1:112" s="54" customFormat="1" ht="17.5" x14ac:dyDescent="0.45">
      <c r="A59" s="323" t="s">
        <v>93</v>
      </c>
      <c r="B59" s="281">
        <v>38.571428571428577</v>
      </c>
      <c r="C59" s="281">
        <v>208</v>
      </c>
      <c r="D59" s="281">
        <v>8298.2857142857119</v>
      </c>
      <c r="E59" s="281">
        <v>178.28571428571425</v>
      </c>
      <c r="F59" s="281">
        <v>18803.428571428576</v>
      </c>
      <c r="G59" s="281">
        <v>1822.8571428571429</v>
      </c>
      <c r="H59" s="281">
        <v>2827.428571428572</v>
      </c>
      <c r="I59" s="281">
        <v>1107.4285714285713</v>
      </c>
      <c r="J59" s="281">
        <v>657.142857142857</v>
      </c>
      <c r="K59" s="281">
        <v>3523.428571428572</v>
      </c>
      <c r="L59" s="281">
        <v>913.142857142857</v>
      </c>
      <c r="M59" s="281">
        <v>363.4285714285715</v>
      </c>
      <c r="N59" s="281">
        <v>3172.571428571428</v>
      </c>
      <c r="O59" s="281">
        <v>197.14285714285714</v>
      </c>
      <c r="P59" s="281">
        <v>757.71428571428555</v>
      </c>
      <c r="Q59" s="281">
        <v>18.857142857142858</v>
      </c>
      <c r="R59" s="281">
        <v>392</v>
      </c>
      <c r="S59" s="281">
        <v>16</v>
      </c>
      <c r="T59" s="281">
        <v>121.14285714285712</v>
      </c>
      <c r="U59" s="281">
        <v>1536</v>
      </c>
      <c r="V59" s="281">
        <v>3445.7142857142858</v>
      </c>
      <c r="W59" s="281">
        <v>953.142857142857</v>
      </c>
      <c r="X59" s="281">
        <v>13.714285714285712</v>
      </c>
      <c r="Y59" s="281">
        <v>21411.428571428576</v>
      </c>
      <c r="Z59" s="281">
        <v>17.142857142857142</v>
      </c>
      <c r="AA59" s="281">
        <v>314.28571428571428</v>
      </c>
      <c r="AB59" s="281">
        <v>518.857142857143</v>
      </c>
      <c r="AC59" s="281">
        <v>2993.1428571428578</v>
      </c>
      <c r="AD59" s="281">
        <v>560292.57142857148</v>
      </c>
      <c r="AE59" s="281">
        <v>1129.1428571428571</v>
      </c>
      <c r="AF59" s="281">
        <v>6012.5714285714284</v>
      </c>
      <c r="AG59" s="281">
        <v>25.714285714285712</v>
      </c>
      <c r="AH59" s="281">
        <v>107.42857142857143</v>
      </c>
      <c r="AI59" s="281">
        <v>171.42857142857144</v>
      </c>
      <c r="AJ59" s="281">
        <v>317.71428571428572</v>
      </c>
      <c r="AK59" s="281">
        <v>7531.4285714285716</v>
      </c>
      <c r="AL59" s="281">
        <v>415.71428571428572</v>
      </c>
      <c r="AM59" s="281">
        <v>296</v>
      </c>
      <c r="AN59" s="281">
        <v>685.71428571428555</v>
      </c>
      <c r="AO59" s="281">
        <v>6</v>
      </c>
      <c r="AP59" s="281">
        <v>11.142857142857144</v>
      </c>
      <c r="AQ59" s="281">
        <v>386.28571428571428</v>
      </c>
      <c r="AR59" s="281">
        <v>4742.857142857144</v>
      </c>
      <c r="AS59" s="281">
        <v>131.42857142857142</v>
      </c>
      <c r="AT59" s="281">
        <v>1885.714285714286</v>
      </c>
      <c r="AU59" s="281">
        <v>16</v>
      </c>
      <c r="AV59" s="281">
        <v>685.71428571428555</v>
      </c>
      <c r="AW59" s="281">
        <v>720</v>
      </c>
      <c r="AX59" s="281">
        <v>25.714285714285712</v>
      </c>
      <c r="AY59" s="281">
        <v>358.85714285714278</v>
      </c>
      <c r="AZ59" s="281">
        <v>3000</v>
      </c>
      <c r="BA59" s="281">
        <v>3289.1428571428578</v>
      </c>
      <c r="BB59" s="281">
        <v>3621.7142857142858</v>
      </c>
      <c r="BC59" s="281">
        <v>33128</v>
      </c>
      <c r="BD59" s="281">
        <v>196.57142857142861</v>
      </c>
      <c r="BE59" s="281">
        <v>59865.142857142848</v>
      </c>
      <c r="BF59" s="281">
        <v>16.285714285714288</v>
      </c>
      <c r="BG59" s="281">
        <v>480</v>
      </c>
      <c r="BH59" s="281">
        <v>178.28571428571425</v>
      </c>
      <c r="BI59" s="281">
        <v>643.42857142857144</v>
      </c>
      <c r="BJ59" s="281">
        <v>138722.28571428571</v>
      </c>
      <c r="BK59" s="281">
        <v>644.57142857142856</v>
      </c>
      <c r="BL59" s="281">
        <v>1601.1428571428571</v>
      </c>
      <c r="BM59" s="281">
        <v>2109.7142857142858</v>
      </c>
      <c r="BN59" s="281">
        <v>10377.142857142857</v>
      </c>
      <c r="BO59" s="281">
        <v>6283.4285714285716</v>
      </c>
      <c r="BP59" s="281">
        <v>7348.5714285714284</v>
      </c>
      <c r="BQ59" s="281">
        <v>10714.285714285712</v>
      </c>
      <c r="BR59" s="281">
        <v>11883.428571428569</v>
      </c>
      <c r="BS59" s="281">
        <v>18</v>
      </c>
      <c r="BT59" s="281">
        <v>14172.571428571431</v>
      </c>
      <c r="BU59" s="281">
        <v>82938.285714285696</v>
      </c>
      <c r="BV59" s="281">
        <v>23917.714285714286</v>
      </c>
      <c r="BW59" s="281">
        <v>1396.5714285714289</v>
      </c>
      <c r="BX59" s="281">
        <v>176917.71428571429</v>
      </c>
      <c r="BY59" s="281">
        <v>105.42857142857143</v>
      </c>
      <c r="BZ59" s="281">
        <v>70050.285714285696</v>
      </c>
      <c r="CA59" s="281">
        <v>90.285714285714306</v>
      </c>
      <c r="CB59" s="281">
        <v>457.14285714285722</v>
      </c>
      <c r="CC59" s="281">
        <v>4789.7142857142853</v>
      </c>
      <c r="CD59" s="281">
        <v>2332.571428571428</v>
      </c>
      <c r="CE59" s="281">
        <v>2057.1428571428573</v>
      </c>
      <c r="CF59" s="281">
        <v>24</v>
      </c>
      <c r="CG59" s="281">
        <v>3045.7142857142858</v>
      </c>
      <c r="CH59" s="281">
        <v>231.42857142857139</v>
      </c>
      <c r="CI59" s="281">
        <v>301272</v>
      </c>
      <c r="CJ59" s="281">
        <v>2593.1428571428573</v>
      </c>
      <c r="CK59" s="281">
        <v>57430.857142857152</v>
      </c>
      <c r="CL59" s="281">
        <v>806.857142857143</v>
      </c>
      <c r="CM59" s="281">
        <v>4489.142857142856</v>
      </c>
      <c r="CN59" s="281">
        <v>12936</v>
      </c>
      <c r="CO59" s="281">
        <v>954.28571428571445</v>
      </c>
      <c r="CP59" s="281">
        <v>838.857142857143</v>
      </c>
      <c r="CQ59" s="281">
        <v>2347.428571428572</v>
      </c>
      <c r="CR59" s="281">
        <v>1248</v>
      </c>
      <c r="CS59" s="281">
        <v>81.142857142857125</v>
      </c>
      <c r="CT59" s="281">
        <v>1248</v>
      </c>
      <c r="CU59" s="281">
        <v>23.142857142857142</v>
      </c>
      <c r="CV59" s="281">
        <v>11.142857142857144</v>
      </c>
      <c r="CW59" s="281">
        <v>29.714285714285719</v>
      </c>
      <c r="CX59" s="281">
        <v>1723532.8571428577</v>
      </c>
    </row>
  </sheetData>
  <printOptions horizontalCentered="1"/>
  <pageMargins left="0.25" right="0.25" top="0.5" bottom="0.5" header="0.3" footer="0.3"/>
  <pageSetup scale="45" fitToWidth="20" orientation="landscape" r:id="rId1"/>
  <headerFooter>
    <oddFooter>&amp;RSchedule A-13
Page &amp;P of &amp;N</oddFooter>
  </headerFooter>
  <colBreaks count="9" manualBreakCount="9">
    <brk id="11" max="58" man="1"/>
    <brk id="21" max="58" man="1"/>
    <brk id="31" max="58" man="1"/>
    <brk id="41" max="58" man="1"/>
    <brk id="51" max="58" man="1"/>
    <brk id="61" max="58" man="1"/>
    <brk id="71" max="58" man="1"/>
    <brk id="81" max="58" man="1"/>
    <brk id="91" max="58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Button 1">
              <controlPr defaultSize="0" print="0" autoFill="0" autoPict="0" macro="[0]!pdfPage13">
                <anchor moveWithCells="1" sizeWithCells="1">
                  <from>
                    <xdr:col>0</xdr:col>
                    <xdr:colOff>12700</xdr:colOff>
                    <xdr:row>0</xdr:row>
                    <xdr:rowOff>19050</xdr:rowOff>
                  </from>
                  <to>
                    <xdr:col>0</xdr:col>
                    <xdr:colOff>19050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D95A5-73FA-4CC2-8F29-A896815BD4E4}">
  <sheetPr transitionEvaluation="1" transitionEntry="1" codeName="Sheet22">
    <pageSetUpPr fitToPage="1"/>
  </sheetPr>
  <dimension ref="A1:AI208"/>
  <sheetViews>
    <sheetView defaultGridColor="0" colorId="22" zoomScaleNormal="100" zoomScaleSheetLayoutView="120" workbookViewId="0">
      <pane xSplit="2" ySplit="3" topLeftCell="C31" activePane="bottomRight" state="frozen"/>
      <selection activeCell="B1" sqref="B1:B1048576"/>
      <selection pane="topRight" activeCell="B1" sqref="B1:B1048576"/>
      <selection pane="bottomLeft" activeCell="B1" sqref="B1:B1048576"/>
      <selection pane="bottomRight" activeCell="A51" sqref="A51"/>
    </sheetView>
  </sheetViews>
  <sheetFormatPr defaultColWidth="9.58203125" defaultRowHeight="20.149999999999999" customHeight="1" x14ac:dyDescent="0.35"/>
  <cols>
    <col min="1" max="1" width="40.58203125" style="9" customWidth="1"/>
    <col min="2" max="8" width="18.83203125" customWidth="1"/>
    <col min="9" max="9" width="3.08203125" customWidth="1"/>
  </cols>
  <sheetData>
    <row r="1" spans="1:35" s="59" customFormat="1" ht="18.5" x14ac:dyDescent="0.45">
      <c r="A1" s="10" t="str">
        <f>Page_1!A1</f>
        <v>IRR 2023 Sch A-13 F.Z25.XLSM</v>
      </c>
      <c r="B1" s="32"/>
      <c r="C1" s="33"/>
      <c r="D1" s="33"/>
      <c r="E1" s="60"/>
      <c r="F1" s="33"/>
      <c r="G1" s="33"/>
      <c r="H1" s="34"/>
      <c r="J1" s="32"/>
      <c r="K1" s="32"/>
      <c r="L1" s="32"/>
      <c r="M1" s="32"/>
      <c r="N1" s="32"/>
      <c r="O1" s="32"/>
      <c r="P1" s="32"/>
    </row>
    <row r="2" spans="1:35" s="59" customFormat="1" ht="18.5" x14ac:dyDescent="0.45">
      <c r="A2" s="414" t="str">
        <f>Page_1!A2</f>
        <v>09/20/2022</v>
      </c>
      <c r="B2" s="32"/>
      <c r="C2" s="33"/>
      <c r="D2" s="33"/>
      <c r="E2" s="60"/>
      <c r="F2" s="33"/>
      <c r="G2" s="33"/>
      <c r="H2" s="34"/>
      <c r="J2" s="32"/>
      <c r="K2" s="32"/>
      <c r="L2" s="32"/>
      <c r="M2" s="32"/>
      <c r="N2" s="32"/>
      <c r="O2" s="32"/>
      <c r="P2" s="32"/>
    </row>
    <row r="3" spans="1:35" s="59" customFormat="1" ht="18.5" x14ac:dyDescent="0.45">
      <c r="A3" s="415" t="str">
        <f>Page_1!A3</f>
        <v>CENTRAL VALLEY PROJECT</v>
      </c>
      <c r="C3" s="35"/>
      <c r="D3" s="35"/>
      <c r="E3" s="35"/>
      <c r="F3" s="35"/>
      <c r="G3" s="35"/>
      <c r="H3" s="36"/>
      <c r="J3" s="32"/>
      <c r="K3" s="32"/>
      <c r="L3" s="32"/>
      <c r="M3" s="32"/>
      <c r="N3" s="32"/>
      <c r="O3" s="32"/>
      <c r="P3" s="32"/>
    </row>
    <row r="4" spans="1:35" s="59" customFormat="1" ht="55.5" x14ac:dyDescent="0.45">
      <c r="A4" s="415" t="str">
        <f>Page_1!A4</f>
        <v>SCHEDULE OF HISTORICAL (1981-2021) &amp; PROJECTED (2022-2030) IRRIGATION WATER DELIVERIES (IN ACRE FEET)</v>
      </c>
      <c r="C4" s="35"/>
      <c r="D4" s="35"/>
      <c r="E4" s="35"/>
      <c r="F4" s="35"/>
      <c r="G4" s="35"/>
      <c r="H4" s="37"/>
      <c r="I4" s="33"/>
      <c r="J4" s="32"/>
      <c r="K4" s="32"/>
      <c r="L4" s="32"/>
      <c r="M4" s="32"/>
      <c r="N4" s="32"/>
      <c r="O4" s="32"/>
      <c r="P4" s="32"/>
      <c r="T4" s="14"/>
      <c r="U4" s="14"/>
      <c r="V4" s="14"/>
      <c r="W4" s="14"/>
      <c r="X4" s="14"/>
      <c r="Y4" s="14"/>
    </row>
    <row r="5" spans="1:35" s="59" customFormat="1" ht="55.5" x14ac:dyDescent="0.45">
      <c r="A5" s="415" t="str">
        <f>Page_1!A5</f>
        <v>FOR CALCULATION OF INDIVIDUAL CONTRACTOR PRORATED CONSTRUCTION COSTS AND RATE</v>
      </c>
      <c r="C5" s="35"/>
      <c r="D5" s="35"/>
      <c r="E5" s="35"/>
      <c r="F5" s="35"/>
      <c r="G5" s="35"/>
      <c r="H5" s="42"/>
      <c r="I5" s="33"/>
      <c r="J5" s="32"/>
      <c r="K5" s="32"/>
      <c r="L5" s="32"/>
      <c r="M5" s="32"/>
      <c r="N5" s="32"/>
      <c r="O5" s="32"/>
      <c r="P5" s="32"/>
    </row>
    <row r="6" spans="1:35" s="129" customFormat="1" ht="62" x14ac:dyDescent="0.35">
      <c r="A6" s="408" t="s">
        <v>34</v>
      </c>
      <c r="B6" s="409" t="s">
        <v>261</v>
      </c>
      <c r="C6" s="410" t="s">
        <v>262</v>
      </c>
      <c r="D6" s="411" t="s">
        <v>263</v>
      </c>
      <c r="E6" s="412" t="s">
        <v>264</v>
      </c>
      <c r="F6" s="410" t="s">
        <v>265</v>
      </c>
      <c r="G6" s="410" t="s">
        <v>266</v>
      </c>
      <c r="H6" s="413" t="s">
        <v>267</v>
      </c>
      <c r="I6" s="128"/>
      <c r="J6" s="123"/>
      <c r="K6" s="123"/>
      <c r="L6" s="123"/>
      <c r="M6" s="123"/>
      <c r="N6" s="123"/>
      <c r="O6" s="123"/>
      <c r="P6" s="123"/>
    </row>
    <row r="7" spans="1:35" s="54" customFormat="1" ht="14.15" customHeight="1" x14ac:dyDescent="0.35">
      <c r="A7" s="18" t="s">
        <v>42</v>
      </c>
      <c r="B7" s="126">
        <v>0</v>
      </c>
      <c r="C7" s="126">
        <v>0</v>
      </c>
      <c r="D7" s="126">
        <f t="shared" ref="D7:D38" si="0">SUM(B7:C7)</f>
        <v>0</v>
      </c>
      <c r="E7" s="19">
        <v>8018</v>
      </c>
      <c r="F7" s="19">
        <v>34389</v>
      </c>
      <c r="G7" s="19">
        <v>90461</v>
      </c>
      <c r="H7" s="19">
        <f t="shared" ref="H7:H38" si="1">SUM(E7:G7)</f>
        <v>132868</v>
      </c>
      <c r="I7" s="19"/>
      <c r="J7" s="51"/>
      <c r="K7" s="51"/>
      <c r="L7" s="51"/>
      <c r="M7" s="51"/>
      <c r="N7" s="51"/>
      <c r="O7" s="51"/>
      <c r="P7" s="51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</row>
    <row r="8" spans="1:35" s="54" customFormat="1" ht="14.15" customHeight="1" x14ac:dyDescent="0.35">
      <c r="A8" s="18" t="s">
        <v>43</v>
      </c>
      <c r="B8" s="126">
        <v>0</v>
      </c>
      <c r="C8" s="126">
        <v>0</v>
      </c>
      <c r="D8" s="126">
        <f t="shared" si="0"/>
        <v>0</v>
      </c>
      <c r="E8" s="19">
        <v>8245</v>
      </c>
      <c r="F8" s="19">
        <v>42094</v>
      </c>
      <c r="G8" s="19">
        <v>56957</v>
      </c>
      <c r="H8" s="19">
        <f t="shared" si="1"/>
        <v>107296</v>
      </c>
      <c r="I8" s="19"/>
      <c r="J8" s="51"/>
      <c r="K8" s="51"/>
      <c r="L8" s="51"/>
      <c r="M8" s="51"/>
      <c r="N8" s="51"/>
      <c r="O8" s="51"/>
      <c r="P8" s="51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</row>
    <row r="9" spans="1:35" s="54" customFormat="1" ht="14.15" customHeight="1" x14ac:dyDescent="0.35">
      <c r="A9" s="18" t="s">
        <v>44</v>
      </c>
      <c r="B9" s="126">
        <v>0</v>
      </c>
      <c r="C9" s="126">
        <v>0</v>
      </c>
      <c r="D9" s="126">
        <f t="shared" si="0"/>
        <v>0</v>
      </c>
      <c r="E9" s="19">
        <v>7033</v>
      </c>
      <c r="F9" s="19">
        <v>41384</v>
      </c>
      <c r="G9" s="19">
        <v>64278</v>
      </c>
      <c r="H9" s="19">
        <f t="shared" si="1"/>
        <v>112695</v>
      </c>
      <c r="I9" s="19"/>
      <c r="J9" s="51"/>
      <c r="K9" s="51"/>
      <c r="L9" s="51"/>
      <c r="M9" s="51"/>
      <c r="N9" s="51"/>
      <c r="O9" s="51"/>
      <c r="P9" s="51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</row>
    <row r="10" spans="1:35" s="54" customFormat="1" ht="14.15" customHeight="1" x14ac:dyDescent="0.35">
      <c r="A10" s="18" t="s">
        <v>45</v>
      </c>
      <c r="B10" s="126">
        <v>0</v>
      </c>
      <c r="C10" s="126">
        <v>0</v>
      </c>
      <c r="D10" s="126">
        <f t="shared" si="0"/>
        <v>0</v>
      </c>
      <c r="E10" s="19">
        <v>8381</v>
      </c>
      <c r="F10" s="19">
        <v>56216</v>
      </c>
      <c r="G10" s="19">
        <v>105441</v>
      </c>
      <c r="H10" s="19">
        <f t="shared" si="1"/>
        <v>170038</v>
      </c>
      <c r="I10" s="19"/>
      <c r="J10" s="51"/>
      <c r="K10" s="51"/>
      <c r="L10" s="51"/>
      <c r="M10" s="51"/>
      <c r="N10" s="51"/>
      <c r="O10" s="51"/>
      <c r="P10" s="51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</row>
    <row r="11" spans="1:35" s="54" customFormat="1" ht="14.15" customHeight="1" x14ac:dyDescent="0.35">
      <c r="A11" s="18" t="s">
        <v>46</v>
      </c>
      <c r="B11" s="126">
        <v>0</v>
      </c>
      <c r="C11" s="126">
        <v>0</v>
      </c>
      <c r="D11" s="126">
        <f t="shared" si="0"/>
        <v>0</v>
      </c>
      <c r="E11" s="19">
        <v>6293</v>
      </c>
      <c r="F11" s="19">
        <v>53180</v>
      </c>
      <c r="G11" s="19">
        <v>98358</v>
      </c>
      <c r="H11" s="19">
        <f t="shared" si="1"/>
        <v>157831</v>
      </c>
      <c r="I11" s="19"/>
      <c r="J11" s="51"/>
      <c r="K11" s="51"/>
      <c r="L11" s="51"/>
      <c r="M11" s="51"/>
      <c r="N11" s="51"/>
      <c r="O11" s="51"/>
      <c r="P11" s="51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</row>
    <row r="12" spans="1:35" s="54" customFormat="1" ht="14.15" customHeight="1" x14ac:dyDescent="0.35">
      <c r="A12" s="18" t="s">
        <v>47</v>
      </c>
      <c r="B12" s="126">
        <v>0</v>
      </c>
      <c r="C12" s="126">
        <v>0</v>
      </c>
      <c r="D12" s="126">
        <f t="shared" si="0"/>
        <v>0</v>
      </c>
      <c r="E12" s="19">
        <v>6501</v>
      </c>
      <c r="F12" s="19">
        <v>46686</v>
      </c>
      <c r="G12" s="19">
        <v>91538</v>
      </c>
      <c r="H12" s="19">
        <f t="shared" si="1"/>
        <v>144725</v>
      </c>
      <c r="I12" s="19"/>
      <c r="J12" s="51"/>
      <c r="K12" s="51"/>
      <c r="L12" s="51"/>
      <c r="M12" s="51"/>
      <c r="N12" s="51"/>
      <c r="O12" s="51"/>
      <c r="P12" s="51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</row>
    <row r="13" spans="1:35" s="54" customFormat="1" ht="14.15" customHeight="1" x14ac:dyDescent="0.35">
      <c r="A13" s="18" t="s">
        <v>48</v>
      </c>
      <c r="B13" s="19">
        <v>3071</v>
      </c>
      <c r="C13" s="126">
        <v>0</v>
      </c>
      <c r="D13" s="19">
        <f t="shared" si="0"/>
        <v>3071</v>
      </c>
      <c r="E13" s="19">
        <v>4613</v>
      </c>
      <c r="F13" s="19">
        <v>55690</v>
      </c>
      <c r="G13" s="19">
        <v>99663</v>
      </c>
      <c r="H13" s="19">
        <f t="shared" si="1"/>
        <v>159966</v>
      </c>
      <c r="I13" s="19"/>
      <c r="J13" s="51"/>
      <c r="K13" s="51"/>
      <c r="L13" s="51"/>
      <c r="M13" s="51"/>
      <c r="N13" s="51"/>
      <c r="O13" s="51"/>
      <c r="P13" s="51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</row>
    <row r="14" spans="1:35" s="54" customFormat="1" ht="14.15" customHeight="1" x14ac:dyDescent="0.35">
      <c r="A14" s="18" t="s">
        <v>49</v>
      </c>
      <c r="B14" s="19">
        <v>7376</v>
      </c>
      <c r="C14" s="19">
        <v>4000</v>
      </c>
      <c r="D14" s="19">
        <f t="shared" si="0"/>
        <v>11376</v>
      </c>
      <c r="E14" s="19">
        <v>7037</v>
      </c>
      <c r="F14" s="19">
        <v>57623</v>
      </c>
      <c r="G14" s="19">
        <v>100958</v>
      </c>
      <c r="H14" s="19">
        <f t="shared" si="1"/>
        <v>165618</v>
      </c>
      <c r="I14" s="19"/>
      <c r="J14" s="51"/>
      <c r="K14" s="51"/>
      <c r="L14" s="51"/>
      <c r="M14" s="51"/>
      <c r="N14" s="51"/>
      <c r="O14" s="51"/>
      <c r="P14" s="51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</row>
    <row r="15" spans="1:35" s="54" customFormat="1" ht="14.15" customHeight="1" x14ac:dyDescent="0.35">
      <c r="A15" s="18" t="s">
        <v>50</v>
      </c>
      <c r="B15" s="19">
        <v>16379</v>
      </c>
      <c r="C15" s="19">
        <v>8000</v>
      </c>
      <c r="D15" s="19">
        <f t="shared" si="0"/>
        <v>24379</v>
      </c>
      <c r="E15" s="19">
        <v>5649</v>
      </c>
      <c r="F15" s="19">
        <v>56423</v>
      </c>
      <c r="G15" s="19">
        <v>86260</v>
      </c>
      <c r="H15" s="19">
        <f t="shared" si="1"/>
        <v>148332</v>
      </c>
      <c r="I15" s="19"/>
      <c r="J15" s="51"/>
      <c r="K15" s="51"/>
      <c r="L15" s="51"/>
      <c r="M15" s="51"/>
      <c r="N15" s="51"/>
      <c r="O15" s="51"/>
      <c r="P15" s="51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</row>
    <row r="16" spans="1:35" s="54" customFormat="1" ht="14.15" customHeight="1" x14ac:dyDescent="0.35">
      <c r="A16" s="18" t="s">
        <v>51</v>
      </c>
      <c r="B16" s="19">
        <v>19273</v>
      </c>
      <c r="C16" s="19">
        <v>7500</v>
      </c>
      <c r="D16" s="19">
        <f t="shared" si="0"/>
        <v>26773</v>
      </c>
      <c r="E16" s="19">
        <v>4661</v>
      </c>
      <c r="F16" s="19">
        <v>47983</v>
      </c>
      <c r="G16" s="19">
        <v>72886</v>
      </c>
      <c r="H16" s="19">
        <f t="shared" si="1"/>
        <v>125530</v>
      </c>
      <c r="I16" s="19"/>
      <c r="J16" s="51"/>
      <c r="K16" s="51"/>
      <c r="L16" s="51"/>
      <c r="M16" s="51"/>
      <c r="N16" s="51"/>
      <c r="O16" s="51"/>
      <c r="P16" s="51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</row>
    <row r="17" spans="1:35" s="54" customFormat="1" ht="14.15" customHeight="1" x14ac:dyDescent="0.35">
      <c r="A17" s="18" t="s">
        <v>52</v>
      </c>
      <c r="B17" s="19">
        <v>14309</v>
      </c>
      <c r="C17" s="19">
        <v>3500</v>
      </c>
      <c r="D17" s="19">
        <f t="shared" si="0"/>
        <v>17809</v>
      </c>
      <c r="E17" s="19">
        <v>3002</v>
      </c>
      <c r="F17" s="19">
        <v>28335</v>
      </c>
      <c r="G17" s="19">
        <v>43108</v>
      </c>
      <c r="H17" s="19">
        <f t="shared" si="1"/>
        <v>74445</v>
      </c>
      <c r="I17" s="19"/>
      <c r="J17" s="51"/>
      <c r="K17" s="51"/>
      <c r="L17" s="51"/>
      <c r="M17" s="51"/>
      <c r="N17" s="51"/>
      <c r="O17" s="51"/>
      <c r="P17" s="51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</row>
    <row r="18" spans="1:35" s="54" customFormat="1" ht="14.15" customHeight="1" x14ac:dyDescent="0.35">
      <c r="A18" s="18" t="s">
        <v>53</v>
      </c>
      <c r="B18" s="19">
        <v>12279</v>
      </c>
      <c r="C18" s="19">
        <v>7080</v>
      </c>
      <c r="D18" s="19">
        <f t="shared" si="0"/>
        <v>19359</v>
      </c>
      <c r="E18" s="19">
        <v>1055</v>
      </c>
      <c r="F18" s="19">
        <v>23422</v>
      </c>
      <c r="G18" s="19">
        <v>31694</v>
      </c>
      <c r="H18" s="19">
        <f t="shared" si="1"/>
        <v>56171</v>
      </c>
      <c r="I18" s="19"/>
      <c r="J18" s="51"/>
      <c r="K18" s="51"/>
      <c r="L18" s="51"/>
      <c r="M18" s="51"/>
      <c r="N18" s="51"/>
      <c r="O18" s="51"/>
      <c r="P18" s="51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</row>
    <row r="19" spans="1:35" s="54" customFormat="1" ht="14.15" customHeight="1" x14ac:dyDescent="0.35">
      <c r="A19" s="18" t="s">
        <v>54</v>
      </c>
      <c r="B19" s="19">
        <v>22851</v>
      </c>
      <c r="C19" s="19">
        <v>2375</v>
      </c>
      <c r="D19" s="19">
        <f t="shared" si="0"/>
        <v>25226</v>
      </c>
      <c r="E19" s="19">
        <v>2478</v>
      </c>
      <c r="F19" s="19">
        <v>43446</v>
      </c>
      <c r="G19" s="19">
        <v>54850</v>
      </c>
      <c r="H19" s="19">
        <f t="shared" si="1"/>
        <v>100774</v>
      </c>
      <c r="I19" s="19"/>
      <c r="J19" s="51"/>
      <c r="K19" s="51"/>
      <c r="L19" s="51"/>
      <c r="M19" s="51"/>
      <c r="N19" s="51"/>
      <c r="O19" s="51"/>
      <c r="P19" s="51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</row>
    <row r="20" spans="1:35" s="54" customFormat="1" ht="14.15" customHeight="1" x14ac:dyDescent="0.35">
      <c r="A20" s="18" t="s">
        <v>55</v>
      </c>
      <c r="B20" s="19">
        <v>11287</v>
      </c>
      <c r="C20" s="19">
        <v>32605</v>
      </c>
      <c r="D20" s="19">
        <f t="shared" si="0"/>
        <v>43892</v>
      </c>
      <c r="E20" s="19">
        <v>4319</v>
      </c>
      <c r="F20" s="19">
        <v>49306</v>
      </c>
      <c r="G20" s="19">
        <v>74397</v>
      </c>
      <c r="H20" s="19">
        <f t="shared" si="1"/>
        <v>128022</v>
      </c>
      <c r="I20" s="19"/>
      <c r="J20" s="51"/>
      <c r="K20" s="51"/>
      <c r="L20" s="51"/>
      <c r="M20" s="51"/>
      <c r="N20" s="51"/>
      <c r="O20" s="51"/>
      <c r="P20" s="51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</row>
    <row r="21" spans="1:35" s="54" customFormat="1" ht="14.15" customHeight="1" x14ac:dyDescent="0.35">
      <c r="A21" s="18" t="s">
        <v>56</v>
      </c>
      <c r="B21" s="19">
        <v>9740</v>
      </c>
      <c r="C21" s="19">
        <v>33523</v>
      </c>
      <c r="D21" s="19">
        <f t="shared" si="0"/>
        <v>43263</v>
      </c>
      <c r="E21" s="19">
        <v>6527</v>
      </c>
      <c r="F21" s="19">
        <v>64195</v>
      </c>
      <c r="G21" s="19">
        <v>60107</v>
      </c>
      <c r="H21" s="19">
        <f t="shared" si="1"/>
        <v>130829</v>
      </c>
      <c r="I21" s="19"/>
      <c r="J21" s="51"/>
      <c r="K21" s="51"/>
      <c r="L21" s="51"/>
      <c r="M21" s="51"/>
      <c r="N21" s="51"/>
      <c r="O21" s="51"/>
      <c r="P21" s="51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</row>
    <row r="22" spans="1:35" s="54" customFormat="1" ht="14.15" customHeight="1" x14ac:dyDescent="0.35">
      <c r="A22" s="18" t="s">
        <v>57</v>
      </c>
      <c r="B22" s="19">
        <v>15496</v>
      </c>
      <c r="C22" s="19">
        <v>53009</v>
      </c>
      <c r="D22" s="19">
        <f t="shared" si="0"/>
        <v>68505</v>
      </c>
      <c r="E22" s="19">
        <v>9885</v>
      </c>
      <c r="F22" s="19">
        <v>87765</v>
      </c>
      <c r="G22" s="19">
        <v>99040</v>
      </c>
      <c r="H22" s="19">
        <f t="shared" si="1"/>
        <v>196690</v>
      </c>
      <c r="I22" s="19"/>
      <c r="J22" s="51"/>
      <c r="K22" s="51"/>
      <c r="L22" s="51"/>
      <c r="M22" s="51"/>
      <c r="N22" s="51"/>
      <c r="O22" s="51"/>
      <c r="P22" s="51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</row>
    <row r="23" spans="1:35" s="54" customFormat="1" ht="14.15" customHeight="1" x14ac:dyDescent="0.35">
      <c r="A23" s="18" t="s">
        <v>58</v>
      </c>
      <c r="B23" s="19">
        <v>35401</v>
      </c>
      <c r="C23" s="19">
        <v>41037</v>
      </c>
      <c r="D23" s="19">
        <f t="shared" si="0"/>
        <v>76438</v>
      </c>
      <c r="E23" s="19">
        <v>8809</v>
      </c>
      <c r="F23" s="19">
        <v>60980</v>
      </c>
      <c r="G23" s="19">
        <v>71233</v>
      </c>
      <c r="H23" s="19">
        <f t="shared" si="1"/>
        <v>141022</v>
      </c>
      <c r="I23" s="19"/>
      <c r="J23" s="51"/>
      <c r="K23" s="51"/>
      <c r="L23" s="51"/>
      <c r="M23" s="51"/>
      <c r="N23" s="51"/>
      <c r="O23" s="51"/>
      <c r="P23" s="51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</row>
    <row r="24" spans="1:35" s="54" customFormat="1" ht="14.15" customHeight="1" x14ac:dyDescent="0.35">
      <c r="A24" s="18" t="s">
        <v>59</v>
      </c>
      <c r="B24" s="19">
        <v>21036</v>
      </c>
      <c r="C24" s="19">
        <v>43605</v>
      </c>
      <c r="D24" s="19">
        <f t="shared" si="0"/>
        <v>64641</v>
      </c>
      <c r="E24" s="19">
        <v>4824</v>
      </c>
      <c r="F24" s="19">
        <v>58203</v>
      </c>
      <c r="G24" s="19">
        <v>59384</v>
      </c>
      <c r="H24" s="19">
        <f t="shared" si="1"/>
        <v>122411</v>
      </c>
      <c r="I24" s="19"/>
      <c r="J24" s="51"/>
      <c r="K24" s="51"/>
      <c r="L24" s="51"/>
      <c r="M24" s="51"/>
      <c r="N24" s="51"/>
      <c r="O24" s="51"/>
      <c r="P24" s="51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</row>
    <row r="25" spans="1:35" s="54" customFormat="1" ht="14.15" customHeight="1" x14ac:dyDescent="0.35">
      <c r="A25" s="18" t="s">
        <v>111</v>
      </c>
      <c r="B25" s="19">
        <v>15606</v>
      </c>
      <c r="C25" s="19">
        <v>-49840</v>
      </c>
      <c r="D25" s="19">
        <f t="shared" si="0"/>
        <v>-34234</v>
      </c>
      <c r="E25" s="19">
        <v>5284</v>
      </c>
      <c r="F25" s="19">
        <v>67504</v>
      </c>
      <c r="G25" s="19">
        <v>74681</v>
      </c>
      <c r="H25" s="19">
        <f t="shared" si="1"/>
        <v>147469</v>
      </c>
      <c r="I25" s="19"/>
      <c r="J25" s="51"/>
      <c r="K25" s="51"/>
      <c r="L25" s="51"/>
      <c r="M25" s="51"/>
      <c r="N25" s="51"/>
      <c r="O25" s="51"/>
      <c r="P25" s="51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</row>
    <row r="26" spans="1:35" s="54" customFormat="1" ht="14.15" customHeight="1" x14ac:dyDescent="0.35">
      <c r="A26" s="18" t="s">
        <v>60</v>
      </c>
      <c r="B26" s="19">
        <v>27641</v>
      </c>
      <c r="C26" s="19">
        <v>17797</v>
      </c>
      <c r="D26" s="19">
        <f t="shared" si="0"/>
        <v>45438</v>
      </c>
      <c r="E26" s="19">
        <v>6038</v>
      </c>
      <c r="F26" s="19">
        <v>39555</v>
      </c>
      <c r="G26" s="19">
        <v>62658</v>
      </c>
      <c r="H26" s="19">
        <f t="shared" si="1"/>
        <v>108251</v>
      </c>
      <c r="I26" s="19"/>
      <c r="J26" s="51"/>
      <c r="K26" s="51"/>
      <c r="L26" s="51"/>
      <c r="M26" s="51"/>
      <c r="N26" s="51"/>
      <c r="O26" s="51"/>
      <c r="P26" s="51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</row>
    <row r="27" spans="1:35" s="54" customFormat="1" ht="14.15" customHeight="1" x14ac:dyDescent="0.35">
      <c r="A27" s="25" t="s">
        <v>61</v>
      </c>
      <c r="B27" s="19">
        <v>24660</v>
      </c>
      <c r="C27" s="19">
        <v>-4434</v>
      </c>
      <c r="D27" s="19">
        <f t="shared" si="0"/>
        <v>20226</v>
      </c>
      <c r="E27" s="19">
        <v>7438</v>
      </c>
      <c r="F27" s="19">
        <v>50118</v>
      </c>
      <c r="G27" s="19">
        <v>94263</v>
      </c>
      <c r="H27" s="19">
        <f t="shared" si="1"/>
        <v>151819</v>
      </c>
      <c r="I27" s="19"/>
      <c r="J27" s="51"/>
      <c r="K27" s="51"/>
      <c r="L27" s="51"/>
      <c r="M27" s="51"/>
      <c r="N27" s="51"/>
      <c r="O27" s="51"/>
      <c r="P27" s="51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</row>
    <row r="28" spans="1:35" s="54" customFormat="1" ht="14.15" customHeight="1" x14ac:dyDescent="0.35">
      <c r="A28" s="25" t="s">
        <v>62</v>
      </c>
      <c r="B28" s="19">
        <v>31424</v>
      </c>
      <c r="C28" s="19">
        <v>-3964</v>
      </c>
      <c r="D28" s="19">
        <f t="shared" si="0"/>
        <v>27460</v>
      </c>
      <c r="E28" s="19">
        <v>6270</v>
      </c>
      <c r="F28" s="19">
        <v>57696</v>
      </c>
      <c r="G28" s="19">
        <v>49541</v>
      </c>
      <c r="H28" s="19">
        <f t="shared" si="1"/>
        <v>113507</v>
      </c>
      <c r="I28" s="19"/>
      <c r="J28" s="51"/>
      <c r="K28" s="51"/>
      <c r="L28" s="51"/>
      <c r="M28" s="51"/>
      <c r="N28" s="51"/>
      <c r="O28" s="51"/>
      <c r="P28" s="51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</row>
    <row r="29" spans="1:35" s="54" customFormat="1" ht="14.15" customHeight="1" x14ac:dyDescent="0.35">
      <c r="A29" s="25" t="s">
        <v>63</v>
      </c>
      <c r="B29" s="19">
        <v>22737</v>
      </c>
      <c r="C29" s="19">
        <v>16811</v>
      </c>
      <c r="D29" s="19">
        <f t="shared" si="0"/>
        <v>39548</v>
      </c>
      <c r="E29" s="19">
        <v>8752</v>
      </c>
      <c r="F29" s="19">
        <v>63993</v>
      </c>
      <c r="G29" s="19">
        <v>73343</v>
      </c>
      <c r="H29" s="19">
        <f t="shared" si="1"/>
        <v>146088</v>
      </c>
      <c r="I29" s="19"/>
      <c r="J29" s="51"/>
      <c r="K29" s="51"/>
      <c r="L29" s="51"/>
      <c r="M29" s="51"/>
      <c r="N29" s="51"/>
      <c r="O29" s="51"/>
      <c r="P29" s="51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</row>
    <row r="30" spans="1:35" s="54" customFormat="1" ht="14.15" customHeight="1" x14ac:dyDescent="0.35">
      <c r="A30" s="25" t="s">
        <v>64</v>
      </c>
      <c r="B30" s="19">
        <v>22818</v>
      </c>
      <c r="C30" s="19">
        <v>39771</v>
      </c>
      <c r="D30" s="19">
        <f t="shared" si="0"/>
        <v>62589</v>
      </c>
      <c r="E30" s="19">
        <v>7225</v>
      </c>
      <c r="F30" s="19">
        <v>57995</v>
      </c>
      <c r="G30" s="19">
        <v>92501</v>
      </c>
      <c r="H30" s="19">
        <f t="shared" si="1"/>
        <v>157721</v>
      </c>
      <c r="I30" s="19"/>
      <c r="J30" s="51"/>
      <c r="K30" s="51"/>
      <c r="L30" s="51"/>
      <c r="M30" s="51"/>
      <c r="N30" s="51"/>
      <c r="O30" s="51"/>
      <c r="P30" s="51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</row>
    <row r="31" spans="1:35" s="54" customFormat="1" ht="14.15" customHeight="1" x14ac:dyDescent="0.35">
      <c r="A31" s="25" t="s">
        <v>65</v>
      </c>
      <c r="B31" s="19">
        <v>22316</v>
      </c>
      <c r="C31" s="19">
        <v>29776</v>
      </c>
      <c r="D31" s="19">
        <f t="shared" si="0"/>
        <v>52092</v>
      </c>
      <c r="E31" s="19">
        <v>5173</v>
      </c>
      <c r="F31" s="19">
        <v>59154</v>
      </c>
      <c r="G31" s="19">
        <v>71130</v>
      </c>
      <c r="H31" s="19">
        <f t="shared" si="1"/>
        <v>135457</v>
      </c>
      <c r="I31" s="19"/>
      <c r="J31" s="51"/>
      <c r="K31" s="51"/>
      <c r="L31" s="51"/>
      <c r="M31" s="51"/>
      <c r="N31" s="51"/>
      <c r="O31" s="51"/>
      <c r="P31" s="51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</row>
    <row r="32" spans="1:35" s="54" customFormat="1" ht="14.15" customHeight="1" x14ac:dyDescent="0.35">
      <c r="A32" s="25" t="s">
        <v>66</v>
      </c>
      <c r="B32" s="19">
        <v>21235</v>
      </c>
      <c r="C32" s="19">
        <v>48196</v>
      </c>
      <c r="D32" s="19">
        <f t="shared" si="0"/>
        <v>69431</v>
      </c>
      <c r="E32" s="19">
        <v>8855</v>
      </c>
      <c r="F32" s="19">
        <v>71703</v>
      </c>
      <c r="G32" s="19">
        <v>76316</v>
      </c>
      <c r="H32" s="19">
        <f t="shared" si="1"/>
        <v>156874</v>
      </c>
      <c r="I32" s="19"/>
      <c r="J32" s="51"/>
      <c r="K32" s="51"/>
      <c r="L32" s="51"/>
      <c r="M32" s="51"/>
      <c r="N32" s="51"/>
      <c r="O32" s="51"/>
      <c r="P32" s="51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</row>
    <row r="33" spans="1:35" s="54" customFormat="1" ht="14.15" customHeight="1" x14ac:dyDescent="0.35">
      <c r="A33" s="18" t="s">
        <v>67</v>
      </c>
      <c r="B33" s="19">
        <v>19156</v>
      </c>
      <c r="C33" s="19">
        <v>23515</v>
      </c>
      <c r="D33" s="19">
        <f t="shared" si="0"/>
        <v>42671</v>
      </c>
      <c r="E33" s="19">
        <v>9961</v>
      </c>
      <c r="F33" s="19">
        <v>59597</v>
      </c>
      <c r="G33" s="19">
        <v>50357</v>
      </c>
      <c r="H33" s="19">
        <f t="shared" si="1"/>
        <v>119915</v>
      </c>
      <c r="I33" s="19"/>
      <c r="J33" s="51"/>
      <c r="K33" s="51"/>
      <c r="L33" s="51"/>
      <c r="M33" s="51"/>
      <c r="N33" s="51"/>
      <c r="O33" s="51"/>
      <c r="P33" s="51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</row>
    <row r="34" spans="1:35" s="54" customFormat="1" ht="14.15" customHeight="1" x14ac:dyDescent="0.35">
      <c r="A34" s="18" t="s">
        <v>68</v>
      </c>
      <c r="B34" s="19">
        <v>11519</v>
      </c>
      <c r="C34" s="19">
        <v>10742</v>
      </c>
      <c r="D34" s="19">
        <f t="shared" si="0"/>
        <v>22261</v>
      </c>
      <c r="E34" s="19">
        <v>2176</v>
      </c>
      <c r="F34" s="19">
        <v>26652</v>
      </c>
      <c r="G34" s="19">
        <v>36401</v>
      </c>
      <c r="H34" s="19">
        <f t="shared" si="1"/>
        <v>65229</v>
      </c>
      <c r="I34" s="19"/>
      <c r="J34" s="51"/>
      <c r="K34" s="51"/>
      <c r="L34" s="51"/>
      <c r="M34" s="51"/>
      <c r="N34" s="51"/>
      <c r="O34" s="51"/>
      <c r="P34" s="51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</row>
    <row r="35" spans="1:35" s="54" customFormat="1" ht="14.15" customHeight="1" x14ac:dyDescent="0.35">
      <c r="A35" s="18" t="s">
        <v>69</v>
      </c>
      <c r="B35" s="19">
        <v>6167</v>
      </c>
      <c r="C35" s="19">
        <v>4479</v>
      </c>
      <c r="D35" s="19">
        <f t="shared" si="0"/>
        <v>10646</v>
      </c>
      <c r="E35" s="19">
        <v>2536</v>
      </c>
      <c r="F35" s="19">
        <v>21363</v>
      </c>
      <c r="G35" s="19">
        <v>26868</v>
      </c>
      <c r="H35" s="19">
        <f t="shared" si="1"/>
        <v>50767</v>
      </c>
      <c r="I35" s="19"/>
      <c r="J35" s="51"/>
      <c r="K35" s="51"/>
      <c r="L35" s="51"/>
      <c r="M35" s="51"/>
      <c r="N35" s="51"/>
      <c r="O35" s="51"/>
      <c r="P35" s="51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</row>
    <row r="36" spans="1:35" s="54" customFormat="1" ht="14.15" customHeight="1" x14ac:dyDescent="0.35">
      <c r="A36" s="25" t="s">
        <v>70</v>
      </c>
      <c r="B36" s="19">
        <v>10587</v>
      </c>
      <c r="C36" s="19">
        <v>11434</v>
      </c>
      <c r="D36" s="19">
        <f t="shared" si="0"/>
        <v>22021</v>
      </c>
      <c r="E36" s="19">
        <v>3877</v>
      </c>
      <c r="F36" s="19">
        <v>18513</v>
      </c>
      <c r="G36" s="19">
        <v>5340</v>
      </c>
      <c r="H36" s="19">
        <f t="shared" si="1"/>
        <v>27730</v>
      </c>
      <c r="I36" s="19"/>
      <c r="J36" s="51"/>
      <c r="K36" s="51"/>
      <c r="L36" s="51"/>
      <c r="M36" s="51"/>
      <c r="N36" s="51"/>
      <c r="O36" s="51"/>
      <c r="P36" s="51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</row>
    <row r="37" spans="1:35" s="54" customFormat="1" ht="14.15" customHeight="1" x14ac:dyDescent="0.35">
      <c r="A37" s="18" t="s">
        <v>71</v>
      </c>
      <c r="B37" s="19">
        <v>7023</v>
      </c>
      <c r="C37" s="19">
        <v>8881</v>
      </c>
      <c r="D37" s="19">
        <f t="shared" si="0"/>
        <v>15904</v>
      </c>
      <c r="E37" s="19">
        <v>6202</v>
      </c>
      <c r="F37" s="19">
        <v>53115</v>
      </c>
      <c r="G37" s="19">
        <v>60133</v>
      </c>
      <c r="H37" s="19">
        <f t="shared" si="1"/>
        <v>119450</v>
      </c>
      <c r="I37" s="19"/>
      <c r="J37" s="51"/>
      <c r="K37" s="51"/>
      <c r="L37" s="51"/>
      <c r="M37" s="51"/>
      <c r="N37" s="51"/>
      <c r="O37" s="51"/>
      <c r="P37" s="51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</row>
    <row r="38" spans="1:35" s="54" customFormat="1" ht="14.15" customHeight="1" x14ac:dyDescent="0.35">
      <c r="A38" s="18" t="s">
        <v>72</v>
      </c>
      <c r="B38" s="19">
        <v>28612</v>
      </c>
      <c r="C38" s="19">
        <v>26480</v>
      </c>
      <c r="D38" s="19">
        <f t="shared" si="0"/>
        <v>55092</v>
      </c>
      <c r="E38" s="19">
        <v>5291</v>
      </c>
      <c r="F38" s="19">
        <v>39779</v>
      </c>
      <c r="G38" s="19">
        <v>55921</v>
      </c>
      <c r="H38" s="19">
        <f t="shared" si="1"/>
        <v>100991</v>
      </c>
      <c r="I38" s="19"/>
      <c r="J38" s="51"/>
      <c r="K38" s="51"/>
      <c r="L38" s="51"/>
      <c r="M38" s="51"/>
      <c r="N38" s="51"/>
      <c r="O38" s="51"/>
      <c r="P38" s="51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</row>
    <row r="39" spans="1:35" s="54" customFormat="1" ht="14.15" customHeight="1" x14ac:dyDescent="0.35">
      <c r="A39" s="18" t="s">
        <v>73</v>
      </c>
      <c r="B39" s="19">
        <v>11760</v>
      </c>
      <c r="C39" s="19">
        <v>16574</v>
      </c>
      <c r="D39" s="19">
        <f t="shared" ref="D39:D56" si="2">SUM(B39:C39)</f>
        <v>28334</v>
      </c>
      <c r="E39" s="19">
        <v>3425</v>
      </c>
      <c r="F39" s="19">
        <v>18637</v>
      </c>
      <c r="G39" s="19">
        <v>25235</v>
      </c>
      <c r="H39" s="19">
        <f t="shared" ref="H39:H56" si="3">SUM(E39:G39)</f>
        <v>47297</v>
      </c>
      <c r="I39" s="19"/>
      <c r="J39" s="51"/>
      <c r="K39" s="51"/>
      <c r="L39" s="51"/>
      <c r="M39" s="51"/>
      <c r="N39" s="51"/>
      <c r="O39" s="51"/>
      <c r="P39" s="51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</row>
    <row r="40" spans="1:35" s="54" customFormat="1" ht="14.15" customHeight="1" x14ac:dyDescent="0.35">
      <c r="A40" s="18" t="s">
        <v>74</v>
      </c>
      <c r="B40" s="19">
        <v>135</v>
      </c>
      <c r="C40" s="19">
        <v>7042</v>
      </c>
      <c r="D40" s="19">
        <f t="shared" si="2"/>
        <v>7177</v>
      </c>
      <c r="E40" s="19">
        <v>333</v>
      </c>
      <c r="F40" s="19">
        <v>8873</v>
      </c>
      <c r="G40" s="19">
        <v>3967</v>
      </c>
      <c r="H40" s="19">
        <f t="shared" si="3"/>
        <v>13173</v>
      </c>
      <c r="I40" s="19"/>
      <c r="J40" s="51"/>
      <c r="K40" s="51"/>
      <c r="L40" s="51"/>
      <c r="M40" s="51"/>
      <c r="N40" s="51"/>
      <c r="O40" s="51"/>
      <c r="P40" s="51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</row>
    <row r="41" spans="1:35" s="54" customFormat="1" ht="14.15" customHeight="1" x14ac:dyDescent="0.35">
      <c r="A41" s="18" t="s">
        <v>75</v>
      </c>
      <c r="B41" s="19">
        <v>3508</v>
      </c>
      <c r="C41" s="26">
        <v>0</v>
      </c>
      <c r="D41" s="19">
        <f t="shared" si="2"/>
        <v>3508</v>
      </c>
      <c r="E41" s="26">
        <v>0</v>
      </c>
      <c r="F41" s="19">
        <v>1306</v>
      </c>
      <c r="G41" s="19">
        <v>15208</v>
      </c>
      <c r="H41" s="19">
        <f t="shared" si="3"/>
        <v>16514</v>
      </c>
      <c r="I41" s="19"/>
      <c r="J41" s="51"/>
      <c r="K41" s="51"/>
      <c r="L41" s="51"/>
      <c r="M41" s="51"/>
      <c r="N41" s="51"/>
      <c r="O41" s="51"/>
      <c r="P41" s="51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</row>
    <row r="42" spans="1:35" s="54" customFormat="1" ht="14.15" customHeight="1" x14ac:dyDescent="0.35">
      <c r="A42" s="18" t="s">
        <v>76</v>
      </c>
      <c r="B42" s="19">
        <v>3688</v>
      </c>
      <c r="C42" s="26">
        <v>0</v>
      </c>
      <c r="D42" s="19">
        <f t="shared" si="2"/>
        <v>3688</v>
      </c>
      <c r="E42" s="26">
        <v>0</v>
      </c>
      <c r="F42" s="19">
        <v>5775</v>
      </c>
      <c r="G42" s="19">
        <v>12622</v>
      </c>
      <c r="H42" s="19">
        <f t="shared" si="3"/>
        <v>18397</v>
      </c>
      <c r="I42" s="19"/>
      <c r="J42" s="51"/>
      <c r="K42" s="51"/>
      <c r="L42" s="51"/>
      <c r="M42" s="51"/>
      <c r="N42" s="51"/>
      <c r="O42" s="51"/>
      <c r="P42" s="51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</row>
    <row r="43" spans="1:35" s="54" customFormat="1" ht="14.15" customHeight="1" x14ac:dyDescent="0.35">
      <c r="A43" s="18" t="s">
        <v>77</v>
      </c>
      <c r="B43" s="19">
        <v>6732</v>
      </c>
      <c r="C43" s="19">
        <v>1655</v>
      </c>
      <c r="D43" s="19">
        <f t="shared" si="2"/>
        <v>8387</v>
      </c>
      <c r="E43" s="19">
        <v>5543</v>
      </c>
      <c r="F43" s="19">
        <v>18157</v>
      </c>
      <c r="G43" s="19">
        <v>44602</v>
      </c>
      <c r="H43" s="19">
        <f t="shared" si="3"/>
        <v>68302</v>
      </c>
      <c r="I43" s="19"/>
      <c r="J43" s="51"/>
      <c r="K43" s="51"/>
      <c r="L43" s="51"/>
      <c r="M43" s="51"/>
      <c r="N43" s="51"/>
      <c r="O43" s="51"/>
      <c r="P43" s="51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</row>
    <row r="44" spans="1:35" s="54" customFormat="1" ht="14.15" customHeight="1" x14ac:dyDescent="0.35">
      <c r="A44" s="18" t="s">
        <v>78</v>
      </c>
      <c r="B44" s="19">
        <v>14704</v>
      </c>
      <c r="C44" s="19">
        <v>33195</v>
      </c>
      <c r="D44" s="19">
        <f t="shared" si="2"/>
        <v>47899</v>
      </c>
      <c r="E44" s="19">
        <v>6072</v>
      </c>
      <c r="F44" s="19">
        <v>27051</v>
      </c>
      <c r="G44" s="19">
        <v>51991</v>
      </c>
      <c r="H44" s="19">
        <f t="shared" si="3"/>
        <v>85114</v>
      </c>
      <c r="I44" s="19"/>
      <c r="J44" s="51"/>
      <c r="K44" s="51"/>
      <c r="L44" s="51"/>
      <c r="M44" s="51"/>
      <c r="N44" s="51"/>
      <c r="O44" s="51"/>
      <c r="P44" s="51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</row>
    <row r="45" spans="1:35" s="54" customFormat="1" ht="14.15" customHeight="1" x14ac:dyDescent="0.35">
      <c r="A45" s="18" t="s">
        <v>79</v>
      </c>
      <c r="B45" s="19">
        <v>8601</v>
      </c>
      <c r="C45" s="19">
        <v>16442</v>
      </c>
      <c r="D45" s="19">
        <f t="shared" si="2"/>
        <v>25043</v>
      </c>
      <c r="E45" s="19">
        <v>6714</v>
      </c>
      <c r="F45" s="19">
        <v>41488</v>
      </c>
      <c r="G45" s="19">
        <v>32120</v>
      </c>
      <c r="H45" s="19">
        <f t="shared" si="3"/>
        <v>80322</v>
      </c>
      <c r="I45" s="19"/>
      <c r="J45" s="51"/>
      <c r="K45" s="51"/>
      <c r="L45" s="51"/>
      <c r="M45" s="51"/>
      <c r="N45" s="51"/>
      <c r="O45" s="51"/>
      <c r="P45" s="51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</row>
    <row r="46" spans="1:35" s="54" customFormat="1" ht="14.15" customHeight="1" x14ac:dyDescent="0.35">
      <c r="A46" s="18" t="s">
        <v>80</v>
      </c>
      <c r="B46" s="19">
        <v>15087</v>
      </c>
      <c r="C46" s="19">
        <v>27577</v>
      </c>
      <c r="D46" s="19">
        <f t="shared" si="2"/>
        <v>42664</v>
      </c>
      <c r="E46" s="19">
        <v>3304</v>
      </c>
      <c r="F46" s="19">
        <v>27452</v>
      </c>
      <c r="G46" s="19">
        <v>36501</v>
      </c>
      <c r="H46" s="19">
        <f t="shared" si="3"/>
        <v>67257</v>
      </c>
      <c r="I46" s="19"/>
      <c r="J46" s="51"/>
      <c r="K46" s="51"/>
      <c r="L46" s="51"/>
      <c r="M46" s="51"/>
      <c r="N46" s="51"/>
      <c r="O46" s="51"/>
      <c r="P46" s="51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</row>
    <row r="47" spans="1:35" s="54" customFormat="1" ht="14.15" customHeight="1" x14ac:dyDescent="0.35">
      <c r="A47" s="18" t="s">
        <v>81</v>
      </c>
      <c r="B47" s="19">
        <f>[1]ActualDeliveries!E$268</f>
        <v>9379</v>
      </c>
      <c r="C47" s="19">
        <f>[1]ActualDeliveries!E$269</f>
        <v>6620</v>
      </c>
      <c r="D47" s="19">
        <f t="shared" si="2"/>
        <v>15999</v>
      </c>
      <c r="E47" s="19">
        <f>[1]ActualDeliveries!E$280</f>
        <v>754</v>
      </c>
      <c r="F47" s="19">
        <f>[1]ActualDeliveries!E$281</f>
        <v>7343</v>
      </c>
      <c r="G47" s="19">
        <f>[1]ActualDeliveries!E$282</f>
        <v>12996</v>
      </c>
      <c r="H47" s="19">
        <f t="shared" si="3"/>
        <v>21093</v>
      </c>
      <c r="I47" s="19"/>
      <c r="J47" s="51"/>
      <c r="K47" s="51"/>
      <c r="L47" s="51"/>
      <c r="M47" s="51"/>
      <c r="N47" s="51"/>
      <c r="O47" s="51"/>
      <c r="P47" s="51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</row>
    <row r="48" spans="1:35" s="54" customFormat="1" ht="14.15" customHeight="1" x14ac:dyDescent="0.35">
      <c r="A48" s="18" t="s">
        <v>82</v>
      </c>
      <c r="B48" s="19">
        <f t="shared" ref="B48:B56" si="4">$B$58</f>
        <v>8814.1428571428569</v>
      </c>
      <c r="C48" s="19">
        <f t="shared" ref="C48:C56" si="5">$C$58</f>
        <v>12212.714285714286</v>
      </c>
      <c r="D48" s="19">
        <f t="shared" si="2"/>
        <v>21026.857142857145</v>
      </c>
      <c r="E48" s="19">
        <f t="shared" ref="E48:E56" si="6">$E$58</f>
        <v>3198.1428571428573</v>
      </c>
      <c r="F48" s="19">
        <f t="shared" ref="F48:F56" si="7">$F$58</f>
        <v>18367.428571428572</v>
      </c>
      <c r="G48" s="19">
        <f t="shared" ref="G48:G56" si="8">$G$58</f>
        <v>29434.285714285714</v>
      </c>
      <c r="H48" s="19">
        <f t="shared" si="3"/>
        <v>50999.857142857145</v>
      </c>
      <c r="I48" s="19"/>
      <c r="J48" s="51"/>
      <c r="K48" s="51"/>
      <c r="L48" s="51"/>
      <c r="M48" s="51"/>
      <c r="N48" s="51"/>
      <c r="O48" s="51"/>
      <c r="P48" s="51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</row>
    <row r="49" spans="1:35" s="54" customFormat="1" ht="14.15" customHeight="1" x14ac:dyDescent="0.35">
      <c r="A49" s="18" t="s">
        <v>83</v>
      </c>
      <c r="B49" s="19">
        <f t="shared" si="4"/>
        <v>8814.1428571428569</v>
      </c>
      <c r="C49" s="19">
        <f t="shared" si="5"/>
        <v>12212.714285714286</v>
      </c>
      <c r="D49" s="19">
        <f t="shared" si="2"/>
        <v>21026.857142857145</v>
      </c>
      <c r="E49" s="19">
        <f t="shared" si="6"/>
        <v>3198.1428571428573</v>
      </c>
      <c r="F49" s="19">
        <f t="shared" si="7"/>
        <v>18367.428571428572</v>
      </c>
      <c r="G49" s="19">
        <f t="shared" si="8"/>
        <v>29434.285714285714</v>
      </c>
      <c r="H49" s="19">
        <f t="shared" si="3"/>
        <v>50999.857142857145</v>
      </c>
      <c r="I49" s="19"/>
      <c r="J49" s="51"/>
      <c r="K49" s="51"/>
      <c r="L49" s="51"/>
      <c r="M49" s="51"/>
      <c r="N49" s="51"/>
      <c r="O49" s="51"/>
      <c r="P49" s="51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</row>
    <row r="50" spans="1:35" s="54" customFormat="1" ht="14.15" customHeight="1" x14ac:dyDescent="0.35">
      <c r="A50" s="18" t="s">
        <v>84</v>
      </c>
      <c r="B50" s="19">
        <f t="shared" si="4"/>
        <v>8814.1428571428569</v>
      </c>
      <c r="C50" s="19">
        <f t="shared" si="5"/>
        <v>12212.714285714286</v>
      </c>
      <c r="D50" s="19">
        <f t="shared" si="2"/>
        <v>21026.857142857145</v>
      </c>
      <c r="E50" s="19">
        <f t="shared" si="6"/>
        <v>3198.1428571428573</v>
      </c>
      <c r="F50" s="19">
        <f t="shared" si="7"/>
        <v>18367.428571428572</v>
      </c>
      <c r="G50" s="19">
        <f t="shared" si="8"/>
        <v>29434.285714285714</v>
      </c>
      <c r="H50" s="19">
        <f t="shared" si="3"/>
        <v>50999.857142857145</v>
      </c>
      <c r="I50" s="19"/>
      <c r="J50" s="51"/>
      <c r="K50" s="51"/>
      <c r="L50" s="51"/>
      <c r="M50" s="51"/>
      <c r="N50" s="51"/>
      <c r="O50" s="51"/>
      <c r="P50" s="51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</row>
    <row r="51" spans="1:35" s="54" customFormat="1" ht="14.15" customHeight="1" x14ac:dyDescent="0.35">
      <c r="A51" s="18" t="s">
        <v>85</v>
      </c>
      <c r="B51" s="19">
        <f t="shared" si="4"/>
        <v>8814.1428571428569</v>
      </c>
      <c r="C51" s="19">
        <f t="shared" si="5"/>
        <v>12212.714285714286</v>
      </c>
      <c r="D51" s="19">
        <f t="shared" si="2"/>
        <v>21026.857142857145</v>
      </c>
      <c r="E51" s="19">
        <f t="shared" si="6"/>
        <v>3198.1428571428573</v>
      </c>
      <c r="F51" s="19">
        <f t="shared" si="7"/>
        <v>18367.428571428572</v>
      </c>
      <c r="G51" s="19">
        <f t="shared" si="8"/>
        <v>29434.285714285714</v>
      </c>
      <c r="H51" s="19">
        <f t="shared" si="3"/>
        <v>50999.857142857145</v>
      </c>
      <c r="I51" s="19"/>
      <c r="J51" s="51"/>
      <c r="K51" s="51"/>
      <c r="L51" s="51"/>
      <c r="M51" s="51"/>
      <c r="N51" s="51"/>
      <c r="O51" s="51"/>
      <c r="P51" s="51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</row>
    <row r="52" spans="1:35" s="54" customFormat="1" ht="14.15" customHeight="1" x14ac:dyDescent="0.35">
      <c r="A52" s="18" t="s">
        <v>86</v>
      </c>
      <c r="B52" s="19">
        <f t="shared" si="4"/>
        <v>8814.1428571428569</v>
      </c>
      <c r="C52" s="19">
        <f t="shared" si="5"/>
        <v>12212.714285714286</v>
      </c>
      <c r="D52" s="19">
        <f t="shared" si="2"/>
        <v>21026.857142857145</v>
      </c>
      <c r="E52" s="19">
        <f t="shared" si="6"/>
        <v>3198.1428571428573</v>
      </c>
      <c r="F52" s="19">
        <f t="shared" si="7"/>
        <v>18367.428571428572</v>
      </c>
      <c r="G52" s="19">
        <f t="shared" si="8"/>
        <v>29434.285714285714</v>
      </c>
      <c r="H52" s="19">
        <f t="shared" si="3"/>
        <v>50999.857142857145</v>
      </c>
      <c r="I52" s="19"/>
      <c r="J52" s="51"/>
      <c r="K52" s="51"/>
      <c r="L52" s="51"/>
      <c r="M52" s="51"/>
      <c r="N52" s="51"/>
      <c r="O52" s="51"/>
      <c r="P52" s="51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</row>
    <row r="53" spans="1:35" s="54" customFormat="1" ht="14.15" customHeight="1" x14ac:dyDescent="0.35">
      <c r="A53" s="18" t="s">
        <v>87</v>
      </c>
      <c r="B53" s="19">
        <f t="shared" si="4"/>
        <v>8814.1428571428569</v>
      </c>
      <c r="C53" s="19">
        <f t="shared" si="5"/>
        <v>12212.714285714286</v>
      </c>
      <c r="D53" s="19">
        <f t="shared" si="2"/>
        <v>21026.857142857145</v>
      </c>
      <c r="E53" s="19">
        <f t="shared" si="6"/>
        <v>3198.1428571428573</v>
      </c>
      <c r="F53" s="19">
        <f t="shared" si="7"/>
        <v>18367.428571428572</v>
      </c>
      <c r="G53" s="19">
        <f t="shared" si="8"/>
        <v>29434.285714285714</v>
      </c>
      <c r="H53" s="19">
        <f t="shared" si="3"/>
        <v>50999.857142857145</v>
      </c>
      <c r="I53" s="19"/>
      <c r="J53" s="51"/>
      <c r="K53" s="51"/>
      <c r="L53" s="51"/>
      <c r="M53" s="51"/>
      <c r="N53" s="51"/>
      <c r="O53" s="51"/>
      <c r="P53" s="51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</row>
    <row r="54" spans="1:35" s="54" customFormat="1" ht="14.15" customHeight="1" x14ac:dyDescent="0.35">
      <c r="A54" s="18" t="s">
        <v>88</v>
      </c>
      <c r="B54" s="19">
        <f t="shared" si="4"/>
        <v>8814.1428571428569</v>
      </c>
      <c r="C54" s="19">
        <f t="shared" si="5"/>
        <v>12212.714285714286</v>
      </c>
      <c r="D54" s="19">
        <f t="shared" si="2"/>
        <v>21026.857142857145</v>
      </c>
      <c r="E54" s="19">
        <f t="shared" si="6"/>
        <v>3198.1428571428573</v>
      </c>
      <c r="F54" s="19">
        <f t="shared" si="7"/>
        <v>18367.428571428572</v>
      </c>
      <c r="G54" s="19">
        <f t="shared" si="8"/>
        <v>29434.285714285714</v>
      </c>
      <c r="H54" s="19">
        <f t="shared" si="3"/>
        <v>50999.857142857145</v>
      </c>
      <c r="I54" s="19"/>
      <c r="J54" s="51"/>
      <c r="K54" s="51"/>
      <c r="L54" s="51"/>
      <c r="M54" s="51"/>
      <c r="N54" s="51"/>
      <c r="O54" s="51"/>
      <c r="P54" s="51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</row>
    <row r="55" spans="1:35" s="54" customFormat="1" ht="14.15" customHeight="1" x14ac:dyDescent="0.35">
      <c r="A55" s="18" t="s">
        <v>89</v>
      </c>
      <c r="B55" s="19">
        <f t="shared" si="4"/>
        <v>8814.1428571428569</v>
      </c>
      <c r="C55" s="19">
        <f t="shared" si="5"/>
        <v>12212.714285714286</v>
      </c>
      <c r="D55" s="19">
        <f t="shared" si="2"/>
        <v>21026.857142857145</v>
      </c>
      <c r="E55" s="19">
        <f t="shared" si="6"/>
        <v>3198.1428571428573</v>
      </c>
      <c r="F55" s="19">
        <f t="shared" si="7"/>
        <v>18367.428571428572</v>
      </c>
      <c r="G55" s="19">
        <f t="shared" si="8"/>
        <v>29434.285714285714</v>
      </c>
      <c r="H55" s="19">
        <f t="shared" si="3"/>
        <v>50999.857142857145</v>
      </c>
      <c r="I55" s="19"/>
      <c r="J55" s="51"/>
      <c r="K55" s="51"/>
      <c r="L55" s="51"/>
      <c r="M55" s="51"/>
      <c r="N55" s="51"/>
      <c r="O55" s="51"/>
      <c r="P55" s="51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</row>
    <row r="56" spans="1:35" s="54" customFormat="1" ht="14.15" customHeight="1" thickBot="1" x14ac:dyDescent="0.4">
      <c r="A56" s="18" t="s">
        <v>90</v>
      </c>
      <c r="B56" s="19">
        <f t="shared" si="4"/>
        <v>8814.1428571428569</v>
      </c>
      <c r="C56" s="19">
        <f t="shared" si="5"/>
        <v>12212.714285714286</v>
      </c>
      <c r="D56" s="19">
        <f t="shared" si="2"/>
        <v>21026.857142857145</v>
      </c>
      <c r="E56" s="19">
        <f t="shared" si="6"/>
        <v>3198.1428571428573</v>
      </c>
      <c r="F56" s="19">
        <f t="shared" si="7"/>
        <v>18367.428571428572</v>
      </c>
      <c r="G56" s="19">
        <f t="shared" si="8"/>
        <v>29434.285714285714</v>
      </c>
      <c r="H56" s="19">
        <f t="shared" si="3"/>
        <v>50999.857142857145</v>
      </c>
      <c r="I56" s="19"/>
      <c r="J56" s="51"/>
      <c r="K56" s="51"/>
      <c r="L56" s="51"/>
      <c r="M56" s="51"/>
      <c r="N56" s="51"/>
      <c r="O56" s="51"/>
      <c r="P56" s="51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</row>
    <row r="57" spans="1:35" s="54" customFormat="1" ht="15.5" x14ac:dyDescent="0.35">
      <c r="A57" s="18" t="s">
        <v>91</v>
      </c>
      <c r="B57" s="27">
        <f t="shared" ref="B57:H57" si="9">SUM(B7:B56)</f>
        <v>612920.28571428556</v>
      </c>
      <c r="C57" s="27">
        <f t="shared" si="9"/>
        <v>634897.42857142887</v>
      </c>
      <c r="D57" s="27">
        <f t="shared" si="9"/>
        <v>1247817.7142857134</v>
      </c>
      <c r="E57" s="27">
        <f t="shared" si="9"/>
        <v>247336.28571428583</v>
      </c>
      <c r="F57" s="27">
        <f t="shared" si="9"/>
        <v>1915445.8571428577</v>
      </c>
      <c r="G57" s="27">
        <f t="shared" si="9"/>
        <v>2690216.5714285732</v>
      </c>
      <c r="H57" s="27">
        <f t="shared" si="9"/>
        <v>4852998.7142857155</v>
      </c>
      <c r="I57" s="19"/>
      <c r="J57" s="51"/>
      <c r="K57" s="51"/>
      <c r="L57" s="51"/>
      <c r="M57" s="51"/>
      <c r="N57" s="51"/>
      <c r="O57" s="51"/>
      <c r="P57" s="51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</row>
    <row r="58" spans="1:35" s="54" customFormat="1" ht="15.5" x14ac:dyDescent="0.35">
      <c r="A58" s="18" t="str">
        <f>Page_16!A58</f>
        <v>7 - Year Hist Avg (A-12)</v>
      </c>
      <c r="B58" s="19">
        <f>AVERAGE(B41:B47)</f>
        <v>8814.1428571428569</v>
      </c>
      <c r="C58" s="19">
        <f>AVERAGE(C41:C47)</f>
        <v>12212.714285714286</v>
      </c>
      <c r="D58" s="19">
        <f>SUM(B58:C58)</f>
        <v>21026.857142857145</v>
      </c>
      <c r="E58" s="19">
        <f>AVERAGE(E41:E47)</f>
        <v>3198.1428571428573</v>
      </c>
      <c r="F58" s="19">
        <f>AVERAGE(F41:F47)</f>
        <v>18367.428571428572</v>
      </c>
      <c r="G58" s="19">
        <f>AVERAGE(G41:G47)</f>
        <v>29434.285714285714</v>
      </c>
      <c r="H58" s="19">
        <f>SUM(E58:G58)</f>
        <v>50999.857142857145</v>
      </c>
      <c r="I58" s="19"/>
      <c r="J58" s="51"/>
      <c r="K58" s="51"/>
      <c r="L58" s="51"/>
      <c r="M58" s="51"/>
      <c r="N58" s="51"/>
      <c r="O58" s="51"/>
      <c r="P58" s="51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</row>
    <row r="59" spans="1:35" s="54" customFormat="1" ht="15.5" x14ac:dyDescent="0.35">
      <c r="A59" s="65" t="str">
        <f>Page_16!A59</f>
        <v>Projected Del. (A-2ba)</v>
      </c>
      <c r="B59" s="19">
        <f t="shared" ref="B59:G59" si="10">SUM(B49:B56)</f>
        <v>70513.142857142855</v>
      </c>
      <c r="C59" s="19">
        <f t="shared" si="10"/>
        <v>97701.714285714304</v>
      </c>
      <c r="D59" s="19">
        <f t="shared" si="10"/>
        <v>168214.85714285716</v>
      </c>
      <c r="E59" s="19">
        <f t="shared" si="10"/>
        <v>25585.142857142862</v>
      </c>
      <c r="F59" s="19">
        <f t="shared" si="10"/>
        <v>146939.42857142861</v>
      </c>
      <c r="G59" s="19">
        <f t="shared" si="10"/>
        <v>235474.28571428571</v>
      </c>
      <c r="H59" s="19">
        <f>SUM(E59:G59)</f>
        <v>407998.85714285716</v>
      </c>
      <c r="I59" s="51"/>
      <c r="J59" s="51"/>
      <c r="K59" s="51"/>
      <c r="L59" s="51"/>
      <c r="M59" s="51"/>
      <c r="N59" s="51"/>
      <c r="O59" s="51"/>
      <c r="P59" s="51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</row>
    <row r="60" spans="1:35" ht="24" customHeight="1" x14ac:dyDescent="0.35">
      <c r="A60" s="8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</row>
    <row r="61" spans="1:35" ht="20.149999999999999" customHeight="1" x14ac:dyDescent="0.35">
      <c r="A61" s="8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</row>
    <row r="62" spans="1:35" ht="20.149999999999999" customHeight="1" x14ac:dyDescent="0.35">
      <c r="A62" s="8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</row>
    <row r="63" spans="1:35" ht="20.149999999999999" customHeight="1" x14ac:dyDescent="0.35">
      <c r="A63" s="8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</row>
    <row r="64" spans="1:35" ht="20.149999999999999" customHeight="1" x14ac:dyDescent="0.35">
      <c r="A64" s="8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</row>
    <row r="65" spans="1:35" ht="20.149999999999999" customHeight="1" x14ac:dyDescent="0.35">
      <c r="A65" s="8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</row>
    <row r="66" spans="1:35" ht="20.149999999999999" customHeight="1" x14ac:dyDescent="0.35">
      <c r="A66" s="8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</row>
    <row r="67" spans="1:35" ht="20.149999999999999" customHeight="1" x14ac:dyDescent="0.35">
      <c r="A67" s="8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</row>
    <row r="68" spans="1:35" ht="20.149999999999999" customHeight="1" x14ac:dyDescent="0.35">
      <c r="A68" s="8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</row>
    <row r="69" spans="1:35" ht="20.149999999999999" customHeight="1" x14ac:dyDescent="0.35">
      <c r="A69" s="8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</row>
    <row r="70" spans="1:35" ht="20.149999999999999" customHeight="1" x14ac:dyDescent="0.35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</row>
    <row r="71" spans="1:35" ht="20.149999999999999" customHeight="1" x14ac:dyDescent="0.35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</row>
    <row r="72" spans="1:35" ht="20.149999999999999" customHeight="1" x14ac:dyDescent="0.35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</row>
    <row r="73" spans="1:35" ht="20.149999999999999" customHeight="1" x14ac:dyDescent="0.35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</row>
    <row r="74" spans="1:35" ht="20.149999999999999" customHeight="1" x14ac:dyDescent="0.35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</row>
    <row r="75" spans="1:35" ht="20.149999999999999" customHeight="1" x14ac:dyDescent="0.3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</row>
    <row r="76" spans="1:35" ht="20.149999999999999" customHeight="1" x14ac:dyDescent="0.35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</row>
    <row r="77" spans="1:35" ht="20.149999999999999" customHeight="1" x14ac:dyDescent="0.35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</row>
    <row r="78" spans="1:35" ht="20.149999999999999" customHeight="1" x14ac:dyDescent="0.35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</row>
    <row r="79" spans="1:35" ht="20.149999999999999" customHeight="1" x14ac:dyDescent="0.35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</row>
    <row r="80" spans="1:35" ht="20.149999999999999" customHeight="1" x14ac:dyDescent="0.35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</row>
    <row r="81" spans="2:35" ht="20.149999999999999" customHeight="1" x14ac:dyDescent="0.35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</row>
    <row r="82" spans="2:35" ht="20.149999999999999" customHeight="1" x14ac:dyDescent="0.35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</row>
    <row r="83" spans="2:35" ht="20.149999999999999" customHeight="1" x14ac:dyDescent="0.35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</row>
    <row r="84" spans="2:35" ht="20.149999999999999" customHeight="1" x14ac:dyDescent="0.35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</row>
    <row r="85" spans="2:35" ht="20.149999999999999" customHeight="1" x14ac:dyDescent="0.3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</row>
    <row r="86" spans="2:35" ht="20.149999999999999" customHeight="1" x14ac:dyDescent="0.35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</row>
    <row r="87" spans="2:35" ht="20.149999999999999" customHeight="1" x14ac:dyDescent="0.35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</row>
    <row r="88" spans="2:35" ht="20.149999999999999" customHeight="1" x14ac:dyDescent="0.35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</row>
    <row r="89" spans="2:35" ht="20.149999999999999" customHeight="1" x14ac:dyDescent="0.35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</row>
    <row r="90" spans="2:35" ht="20.149999999999999" customHeight="1" x14ac:dyDescent="0.35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</row>
    <row r="91" spans="2:35" ht="20.149999999999999" customHeight="1" x14ac:dyDescent="0.35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</row>
    <row r="92" spans="2:35" ht="20.149999999999999" customHeight="1" x14ac:dyDescent="0.35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</row>
    <row r="93" spans="2:35" ht="20.149999999999999" customHeight="1" x14ac:dyDescent="0.35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</row>
    <row r="94" spans="2:35" ht="20.149999999999999" customHeight="1" x14ac:dyDescent="0.35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</row>
    <row r="95" spans="2:35" ht="20.149999999999999" customHeight="1" x14ac:dyDescent="0.3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</row>
    <row r="96" spans="2:35" ht="20.149999999999999" customHeight="1" x14ac:dyDescent="0.35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</row>
    <row r="97" spans="2:35" ht="20.149999999999999" customHeight="1" x14ac:dyDescent="0.35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</row>
    <row r="98" spans="2:35" ht="20.149999999999999" customHeight="1" x14ac:dyDescent="0.35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</row>
    <row r="99" spans="2:35" ht="20.149999999999999" customHeight="1" x14ac:dyDescent="0.35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</row>
    <row r="100" spans="2:35" ht="20.149999999999999" customHeight="1" x14ac:dyDescent="0.35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</row>
    <row r="101" spans="2:35" ht="20.149999999999999" customHeight="1" x14ac:dyDescent="0.35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</row>
    <row r="102" spans="2:35" ht="20.149999999999999" customHeight="1" x14ac:dyDescent="0.35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</row>
    <row r="103" spans="2:35" ht="20.149999999999999" customHeight="1" x14ac:dyDescent="0.35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</row>
    <row r="104" spans="2:35" ht="20.149999999999999" customHeight="1" x14ac:dyDescent="0.3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</row>
    <row r="105" spans="2:35" ht="20.149999999999999" customHeight="1" x14ac:dyDescent="0.3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</row>
    <row r="106" spans="2:35" ht="20.149999999999999" customHeight="1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</row>
    <row r="107" spans="2:35" ht="20.149999999999999" customHeight="1" x14ac:dyDescent="0.35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</row>
    <row r="108" spans="2:35" ht="20.149999999999999" customHeight="1" x14ac:dyDescent="0.35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</row>
    <row r="109" spans="2:35" ht="20.149999999999999" customHeight="1" x14ac:dyDescent="0.35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</row>
    <row r="110" spans="2:35" ht="20.149999999999999" customHeight="1" x14ac:dyDescent="0.35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</row>
    <row r="111" spans="2:35" ht="20.149999999999999" customHeight="1" x14ac:dyDescent="0.35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</row>
    <row r="112" spans="2:35" ht="20.149999999999999" customHeight="1" x14ac:dyDescent="0.35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</row>
    <row r="113" spans="2:35" ht="20.149999999999999" customHeight="1" x14ac:dyDescent="0.35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</row>
    <row r="114" spans="2:35" ht="20.149999999999999" customHeight="1" x14ac:dyDescent="0.35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</row>
    <row r="115" spans="2:35" ht="20.149999999999999" customHeight="1" x14ac:dyDescent="0.3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</row>
    <row r="116" spans="2:35" ht="20.149999999999999" customHeight="1" x14ac:dyDescent="0.35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</row>
    <row r="117" spans="2:35" ht="20.149999999999999" customHeight="1" x14ac:dyDescent="0.35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</row>
    <row r="118" spans="2:35" ht="20.149999999999999" customHeight="1" x14ac:dyDescent="0.35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</row>
    <row r="119" spans="2:35" ht="20.149999999999999" customHeight="1" x14ac:dyDescent="0.35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</row>
    <row r="120" spans="2:35" ht="20.149999999999999" customHeight="1" x14ac:dyDescent="0.35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</row>
    <row r="121" spans="2:35" ht="20.149999999999999" customHeight="1" x14ac:dyDescent="0.35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</row>
    <row r="122" spans="2:35" ht="20.149999999999999" customHeight="1" x14ac:dyDescent="0.35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</row>
    <row r="123" spans="2:35" ht="20.149999999999999" customHeight="1" x14ac:dyDescent="0.35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</row>
    <row r="124" spans="2:35" ht="20.149999999999999" customHeight="1" x14ac:dyDescent="0.35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</row>
    <row r="125" spans="2:35" ht="20.149999999999999" customHeight="1" x14ac:dyDescent="0.3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</row>
    <row r="126" spans="2:35" ht="20.149999999999999" customHeight="1" x14ac:dyDescent="0.35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</row>
    <row r="127" spans="2:35" ht="20.149999999999999" customHeight="1" x14ac:dyDescent="0.35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</row>
    <row r="128" spans="2:35" ht="20.149999999999999" customHeight="1" x14ac:dyDescent="0.35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</row>
    <row r="129" spans="2:35" ht="20.149999999999999" customHeight="1" x14ac:dyDescent="0.35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</row>
    <row r="130" spans="2:35" ht="20.149999999999999" customHeight="1" x14ac:dyDescent="0.35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</row>
    <row r="131" spans="2:35" ht="20.149999999999999" customHeight="1" x14ac:dyDescent="0.3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</row>
    <row r="132" spans="2:35" ht="20.149999999999999" customHeight="1" x14ac:dyDescent="0.35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</row>
    <row r="133" spans="2:35" ht="20.149999999999999" customHeight="1" x14ac:dyDescent="0.35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</row>
    <row r="134" spans="2:35" ht="20.149999999999999" customHeight="1" x14ac:dyDescent="0.35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</row>
    <row r="135" spans="2:35" ht="20.149999999999999" customHeight="1" x14ac:dyDescent="0.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</row>
    <row r="136" spans="2:35" ht="20.149999999999999" customHeight="1" x14ac:dyDescent="0.35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</row>
    <row r="137" spans="2:35" ht="20.149999999999999" customHeight="1" x14ac:dyDescent="0.35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</row>
    <row r="138" spans="2:35" ht="20.149999999999999" customHeight="1" x14ac:dyDescent="0.35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</row>
    <row r="139" spans="2:35" ht="20.149999999999999" customHeight="1" x14ac:dyDescent="0.35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</row>
    <row r="140" spans="2:35" ht="20.149999999999999" customHeight="1" x14ac:dyDescent="0.35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</row>
    <row r="141" spans="2:35" ht="20.149999999999999" customHeight="1" x14ac:dyDescent="0.35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</row>
    <row r="142" spans="2:35" ht="20.149999999999999" customHeight="1" x14ac:dyDescent="0.35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</row>
    <row r="143" spans="2:35" ht="20.149999999999999" customHeight="1" x14ac:dyDescent="0.35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</row>
    <row r="144" spans="2:35" ht="20.149999999999999" customHeight="1" x14ac:dyDescent="0.35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</row>
    <row r="145" spans="2:35" ht="20.149999999999999" customHeight="1" x14ac:dyDescent="0.3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</row>
    <row r="146" spans="2:35" ht="20.149999999999999" customHeight="1" x14ac:dyDescent="0.35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</row>
    <row r="147" spans="2:35" ht="20.149999999999999" customHeight="1" x14ac:dyDescent="0.35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</row>
    <row r="148" spans="2:35" ht="20.149999999999999" customHeight="1" x14ac:dyDescent="0.35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</row>
    <row r="149" spans="2:35" ht="20.149999999999999" customHeight="1" x14ac:dyDescent="0.35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</row>
    <row r="150" spans="2:35" ht="20.149999999999999" customHeight="1" x14ac:dyDescent="0.35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</row>
    <row r="151" spans="2:35" ht="20.149999999999999" customHeight="1" x14ac:dyDescent="0.35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</row>
    <row r="152" spans="2:35" ht="20.149999999999999" customHeight="1" x14ac:dyDescent="0.35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</row>
    <row r="153" spans="2:35" ht="20.149999999999999" customHeight="1" x14ac:dyDescent="0.35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</row>
    <row r="154" spans="2:35" ht="20.149999999999999" customHeight="1" x14ac:dyDescent="0.35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</row>
    <row r="155" spans="2:35" ht="20.149999999999999" customHeight="1" x14ac:dyDescent="0.3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</row>
    <row r="156" spans="2:35" ht="20.149999999999999" customHeight="1" x14ac:dyDescent="0.35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</row>
    <row r="157" spans="2:35" ht="20.149999999999999" customHeight="1" x14ac:dyDescent="0.35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</row>
    <row r="158" spans="2:35" ht="20.149999999999999" customHeight="1" x14ac:dyDescent="0.35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</row>
    <row r="159" spans="2:35" ht="20.149999999999999" customHeight="1" x14ac:dyDescent="0.35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</row>
    <row r="160" spans="2:35" ht="20.149999999999999" customHeight="1" x14ac:dyDescent="0.35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</row>
    <row r="161" spans="2:35" ht="20.149999999999999" customHeight="1" x14ac:dyDescent="0.35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</row>
    <row r="162" spans="2:35" ht="20.149999999999999" customHeight="1" x14ac:dyDescent="0.35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</row>
    <row r="163" spans="2:35" ht="20.149999999999999" customHeight="1" x14ac:dyDescent="0.35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</row>
    <row r="164" spans="2:35" ht="20.149999999999999" customHeight="1" x14ac:dyDescent="0.35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</row>
    <row r="165" spans="2:35" ht="20.149999999999999" customHeight="1" x14ac:dyDescent="0.3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</row>
    <row r="166" spans="2:35" ht="20.149999999999999" customHeight="1" x14ac:dyDescent="0.35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</row>
    <row r="167" spans="2:35" ht="20.149999999999999" customHeight="1" x14ac:dyDescent="0.35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</row>
    <row r="168" spans="2:35" ht="20.149999999999999" customHeight="1" x14ac:dyDescent="0.35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</row>
    <row r="169" spans="2:35" ht="20.149999999999999" customHeight="1" x14ac:dyDescent="0.35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</row>
    <row r="170" spans="2:35" ht="20.149999999999999" customHeight="1" x14ac:dyDescent="0.35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</row>
    <row r="171" spans="2:35" ht="20.149999999999999" customHeight="1" x14ac:dyDescent="0.35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</row>
    <row r="172" spans="2:35" ht="20.149999999999999" customHeight="1" x14ac:dyDescent="0.35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</row>
    <row r="173" spans="2:35" ht="20.149999999999999" customHeight="1" x14ac:dyDescent="0.35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</row>
    <row r="174" spans="2:35" ht="20.149999999999999" customHeight="1" x14ac:dyDescent="0.35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</row>
    <row r="175" spans="2:35" ht="20.149999999999999" customHeight="1" x14ac:dyDescent="0.3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</row>
    <row r="176" spans="2:35" ht="20.149999999999999" customHeight="1" x14ac:dyDescent="0.35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</row>
    <row r="177" spans="2:35" ht="20.149999999999999" customHeight="1" x14ac:dyDescent="0.35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</row>
    <row r="178" spans="2:35" ht="20.149999999999999" customHeight="1" x14ac:dyDescent="0.35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</row>
    <row r="179" spans="2:35" ht="20.149999999999999" customHeight="1" x14ac:dyDescent="0.35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</row>
    <row r="180" spans="2:35" ht="20.149999999999999" customHeight="1" x14ac:dyDescent="0.35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</row>
    <row r="181" spans="2:35" ht="20.149999999999999" customHeight="1" x14ac:dyDescent="0.35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</row>
    <row r="182" spans="2:35" ht="20.149999999999999" customHeight="1" x14ac:dyDescent="0.35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</row>
    <row r="183" spans="2:35" ht="20.149999999999999" customHeight="1" x14ac:dyDescent="0.35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</row>
    <row r="184" spans="2:35" ht="20.149999999999999" customHeight="1" x14ac:dyDescent="0.35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</row>
    <row r="185" spans="2:35" ht="20.149999999999999" customHeight="1" x14ac:dyDescent="0.3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</row>
    <row r="186" spans="2:35" ht="20.149999999999999" customHeight="1" x14ac:dyDescent="0.35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</row>
    <row r="187" spans="2:35" ht="20.149999999999999" customHeight="1" x14ac:dyDescent="0.35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</row>
    <row r="188" spans="2:35" ht="20.149999999999999" customHeight="1" x14ac:dyDescent="0.35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</row>
    <row r="189" spans="2:35" ht="20.149999999999999" customHeight="1" x14ac:dyDescent="0.35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</row>
    <row r="190" spans="2:35" ht="20.149999999999999" customHeight="1" x14ac:dyDescent="0.35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</row>
    <row r="191" spans="2:35" ht="20.149999999999999" customHeight="1" x14ac:dyDescent="0.35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</row>
    <row r="192" spans="2:35" ht="20.149999999999999" customHeight="1" x14ac:dyDescent="0.35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</row>
    <row r="193" spans="2:35" ht="20.149999999999999" customHeight="1" x14ac:dyDescent="0.35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</row>
    <row r="194" spans="2:35" ht="20.149999999999999" customHeight="1" x14ac:dyDescent="0.35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</row>
    <row r="195" spans="2:35" ht="20.149999999999999" customHeight="1" x14ac:dyDescent="0.3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</row>
    <row r="196" spans="2:35" ht="20.149999999999999" customHeight="1" x14ac:dyDescent="0.35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</row>
    <row r="197" spans="2:35" ht="20.149999999999999" customHeight="1" x14ac:dyDescent="0.35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</row>
    <row r="198" spans="2:35" ht="20.149999999999999" customHeight="1" x14ac:dyDescent="0.35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</row>
    <row r="199" spans="2:35" ht="20.149999999999999" customHeight="1" x14ac:dyDescent="0.35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</row>
    <row r="200" spans="2:35" ht="20.149999999999999" customHeight="1" x14ac:dyDescent="0.35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</row>
    <row r="201" spans="2:35" ht="20.149999999999999" customHeight="1" x14ac:dyDescent="0.35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</row>
    <row r="202" spans="2:35" ht="20.149999999999999" customHeight="1" x14ac:dyDescent="0.35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</row>
    <row r="203" spans="2:35" ht="20.149999999999999" customHeight="1" x14ac:dyDescent="0.35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</row>
    <row r="204" spans="2:35" ht="20.149999999999999" customHeight="1" x14ac:dyDescent="0.35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</row>
    <row r="205" spans="2:35" ht="20.149999999999999" customHeight="1" x14ac:dyDescent="0.3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</row>
    <row r="206" spans="2:35" ht="20.149999999999999" customHeight="1" x14ac:dyDescent="0.35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</row>
    <row r="207" spans="2:35" ht="20.149999999999999" customHeight="1" x14ac:dyDescent="0.35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</row>
    <row r="208" spans="2:35" ht="20.149999999999999" customHeight="1" x14ac:dyDescent="0.35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</row>
  </sheetData>
  <printOptions horizontalCentered="1"/>
  <pageMargins left="0.25" right="0.25" top="0.5" bottom="0.5" header="0.3" footer="0.3"/>
  <pageSetup scale="56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09" r:id="rId4" name="Button 1">
              <controlPr defaultSize="0" print="0" autoFill="0" autoPict="0" macro="[0]!pdfPage21">
                <anchor moveWithCells="1" sizeWithCells="1">
                  <from>
                    <xdr:col>0</xdr:col>
                    <xdr:colOff>57150</xdr:colOff>
                    <xdr:row>0</xdr:row>
                    <xdr:rowOff>19050</xdr:rowOff>
                  </from>
                  <to>
                    <xdr:col>0</xdr:col>
                    <xdr:colOff>76200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5EC8B-2D45-4A56-B93C-1E2AD4BE8FD3}">
  <sheetPr transitionEvaluation="1" transitionEntry="1" codeName="Sheet23">
    <pageSetUpPr fitToPage="1"/>
  </sheetPr>
  <dimension ref="A1:Y159"/>
  <sheetViews>
    <sheetView defaultGridColor="0" topLeftCell="A32" colorId="22" zoomScaleNormal="100" zoomScaleSheetLayoutView="120" workbookViewId="0">
      <selection activeCell="F25" sqref="F25"/>
    </sheetView>
  </sheetViews>
  <sheetFormatPr defaultColWidth="9.58203125" defaultRowHeight="15.5" x14ac:dyDescent="0.35"/>
  <cols>
    <col min="1" max="1" width="40.58203125" style="58" customWidth="1"/>
    <col min="2" max="10" width="18.83203125" customWidth="1"/>
  </cols>
  <sheetData>
    <row r="1" spans="1:25" s="59" customFormat="1" ht="18.5" x14ac:dyDescent="0.45">
      <c r="A1" s="67" t="str">
        <f>Page_1!A1</f>
        <v>IRR 2023 Sch A-13 F.Z25.XLSM</v>
      </c>
      <c r="B1" s="42"/>
      <c r="C1" s="42"/>
      <c r="D1" s="42"/>
      <c r="E1" s="32"/>
      <c r="F1" s="33"/>
      <c r="G1" s="33"/>
      <c r="H1" s="33"/>
      <c r="I1" s="33"/>
      <c r="J1" s="34"/>
      <c r="K1" s="32"/>
      <c r="L1" s="32"/>
    </row>
    <row r="2" spans="1:25" s="59" customFormat="1" ht="18.5" x14ac:dyDescent="0.45">
      <c r="A2" s="11" t="str">
        <f>Page_1!A2</f>
        <v>09/20/2022</v>
      </c>
      <c r="C2" s="35"/>
      <c r="D2" s="35"/>
      <c r="E2" s="35"/>
      <c r="F2" s="35"/>
      <c r="G2" s="35"/>
      <c r="H2" s="35"/>
      <c r="I2" s="35"/>
      <c r="J2" s="36"/>
      <c r="K2" s="32"/>
      <c r="L2" s="32"/>
    </row>
    <row r="3" spans="1:25" s="59" customFormat="1" ht="18.5" x14ac:dyDescent="0.45">
      <c r="A3" s="12" t="str">
        <f>Page_1!A3</f>
        <v>CENTRAL VALLEY PROJECT</v>
      </c>
      <c r="C3" s="35"/>
      <c r="D3" s="35"/>
      <c r="E3" s="35"/>
      <c r="F3" s="35"/>
      <c r="G3" s="35"/>
      <c r="H3" s="35"/>
      <c r="I3" s="35"/>
      <c r="J3" s="37"/>
      <c r="K3" s="32"/>
      <c r="L3" s="32"/>
    </row>
    <row r="4" spans="1:25" s="59" customFormat="1" ht="55.5" x14ac:dyDescent="0.45">
      <c r="A4" s="12" t="str">
        <f>Page_1!A4</f>
        <v>SCHEDULE OF HISTORICAL (1981-2021) &amp; PROJECTED (2022-2030) IRRIGATION WATER DELIVERIES (IN ACRE FEET)</v>
      </c>
      <c r="C4" s="35"/>
      <c r="D4" s="35"/>
      <c r="E4" s="35"/>
      <c r="F4" s="35"/>
      <c r="G4" s="35"/>
      <c r="H4" s="35"/>
      <c r="I4" s="35"/>
      <c r="J4" s="33"/>
      <c r="K4" s="32"/>
      <c r="L4" s="32"/>
    </row>
    <row r="5" spans="1:25" s="59" customFormat="1" ht="55.5" x14ac:dyDescent="0.45">
      <c r="A5" s="12" t="str">
        <f>Page_1!A5</f>
        <v>FOR CALCULATION OF INDIVIDUAL CONTRACTOR PRORATED CONSTRUCTION COSTS AND RATE</v>
      </c>
      <c r="B5" s="125"/>
      <c r="C5" s="125"/>
      <c r="D5" s="125"/>
      <c r="E5" s="32"/>
      <c r="F5" s="32"/>
      <c r="G5" s="32"/>
      <c r="H5" s="32"/>
      <c r="I5" s="32"/>
      <c r="J5" s="32"/>
      <c r="K5" s="32"/>
      <c r="L5" s="32"/>
    </row>
    <row r="6" spans="1:25" s="69" customFormat="1" ht="77.5" x14ac:dyDescent="0.35">
      <c r="A6" s="422" t="s">
        <v>34</v>
      </c>
      <c r="B6" s="416" t="s">
        <v>268</v>
      </c>
      <c r="C6" s="417" t="s">
        <v>269</v>
      </c>
      <c r="D6" s="418" t="s">
        <v>270</v>
      </c>
      <c r="E6" s="419" t="s">
        <v>271</v>
      </c>
      <c r="F6" s="420" t="s">
        <v>272</v>
      </c>
      <c r="G6" s="420" t="s">
        <v>273</v>
      </c>
      <c r="H6" s="420" t="s">
        <v>274</v>
      </c>
      <c r="I6" s="420" t="s">
        <v>275</v>
      </c>
      <c r="J6" s="420" t="s">
        <v>276</v>
      </c>
      <c r="K6" s="68"/>
      <c r="L6" s="68"/>
    </row>
    <row r="7" spans="1:25" s="131" customFormat="1" ht="13.5" hidden="1" thickBot="1" x14ac:dyDescent="0.4">
      <c r="A7" s="130"/>
      <c r="B7" s="105"/>
      <c r="C7" s="105"/>
      <c r="D7" s="106"/>
      <c r="E7" s="100"/>
      <c r="F7" s="102"/>
      <c r="G7" s="102"/>
      <c r="H7" s="102"/>
      <c r="I7" s="102"/>
      <c r="J7" s="102"/>
      <c r="K7" s="104"/>
      <c r="L7" s="104"/>
    </row>
    <row r="8" spans="1:25" s="54" customFormat="1" hidden="1" x14ac:dyDescent="0.35">
      <c r="A8" s="47"/>
      <c r="B8" s="111">
        <f>783000+117000+200000+25000-6000+(6260*0.75)+"Mercy Springs Assignment 5/14/1999"+2500+"full assignment from Centinella 11/9/2004"+2990+"full assignment from Widren 5/27/2005"+3000+"from M&amp;I"+26980+"Broadview WD full assignment 3/1/2007"+4000+"Oro Loma Partial assignment"</f>
        <v>1163165</v>
      </c>
      <c r="C8" s="111">
        <f>4198+"Mercy Springs Assignment 4/11/2003"</f>
        <v>4198</v>
      </c>
      <c r="D8" s="132"/>
      <c r="E8" s="111">
        <v>5700</v>
      </c>
      <c r="F8" s="111">
        <f>(68165-150)+"Contract total less M&amp;I AF"</f>
        <v>68015</v>
      </c>
      <c r="G8" s="111">
        <v>1700</v>
      </c>
      <c r="H8" s="111">
        <v>4000</v>
      </c>
      <c r="I8" s="111">
        <v>19000</v>
      </c>
      <c r="J8" s="111">
        <v>1730</v>
      </c>
      <c r="K8" s="90"/>
      <c r="L8" s="90"/>
    </row>
    <row r="9" spans="1:25" s="54" customFormat="1" hidden="1" x14ac:dyDescent="0.35">
      <c r="A9" s="47"/>
      <c r="B9" s="111"/>
      <c r="C9" s="111"/>
      <c r="D9" s="132"/>
      <c r="E9" s="111"/>
      <c r="F9" s="111"/>
      <c r="G9" s="111"/>
      <c r="H9" s="111"/>
      <c r="I9" s="111"/>
      <c r="J9" s="111"/>
      <c r="K9" s="90"/>
      <c r="L9" s="90"/>
    </row>
    <row r="10" spans="1:25" s="54" customFormat="1" hidden="1" x14ac:dyDescent="0.35">
      <c r="A10" s="47"/>
      <c r="B10" s="111"/>
      <c r="C10" s="111"/>
      <c r="D10" s="132"/>
      <c r="E10" s="111"/>
      <c r="F10" s="111"/>
      <c r="G10" s="111"/>
      <c r="H10" s="111"/>
      <c r="I10" s="111"/>
      <c r="J10" s="111"/>
      <c r="K10" s="90"/>
      <c r="L10" s="90"/>
    </row>
    <row r="11" spans="1:25" s="54" customFormat="1" x14ac:dyDescent="0.35">
      <c r="A11" s="18" t="s">
        <v>42</v>
      </c>
      <c r="B11" s="19">
        <f>1186158</f>
        <v>1186158</v>
      </c>
      <c r="C11" s="19"/>
      <c r="D11" s="19">
        <f t="shared" ref="D11:D42" si="0">SUM(B11:C11)</f>
        <v>1186158</v>
      </c>
      <c r="E11" s="133">
        <v>-1930</v>
      </c>
      <c r="F11" s="19">
        <v>32164</v>
      </c>
      <c r="G11" s="19">
        <v>0</v>
      </c>
      <c r="H11" s="19">
        <v>5383</v>
      </c>
      <c r="I11" s="19">
        <v>565</v>
      </c>
      <c r="J11" s="19">
        <v>0</v>
      </c>
      <c r="K11" s="19" t="s">
        <v>102</v>
      </c>
      <c r="L11" s="51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</row>
    <row r="12" spans="1:25" s="54" customFormat="1" x14ac:dyDescent="0.35">
      <c r="A12" s="18" t="s">
        <v>43</v>
      </c>
      <c r="B12" s="19">
        <f>1173839</f>
        <v>1173839</v>
      </c>
      <c r="C12" s="19"/>
      <c r="D12" s="19">
        <f t="shared" si="0"/>
        <v>1173839</v>
      </c>
      <c r="E12" s="19">
        <v>2872</v>
      </c>
      <c r="F12" s="19">
        <v>22729</v>
      </c>
      <c r="G12" s="19">
        <v>1461</v>
      </c>
      <c r="H12" s="19">
        <v>4324</v>
      </c>
      <c r="I12" s="19">
        <v>296</v>
      </c>
      <c r="J12" s="19">
        <v>892</v>
      </c>
      <c r="K12" s="19" t="s">
        <v>102</v>
      </c>
      <c r="L12" s="51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</row>
    <row r="13" spans="1:25" s="54" customFormat="1" x14ac:dyDescent="0.35">
      <c r="A13" s="18" t="s">
        <v>44</v>
      </c>
      <c r="B13" s="19">
        <f>1019470</f>
        <v>1019470</v>
      </c>
      <c r="C13" s="19"/>
      <c r="D13" s="19">
        <f t="shared" si="0"/>
        <v>1019470</v>
      </c>
      <c r="E13" s="19">
        <v>2611</v>
      </c>
      <c r="F13" s="19">
        <v>18409</v>
      </c>
      <c r="G13" s="19">
        <v>1113</v>
      </c>
      <c r="H13" s="19">
        <v>2138</v>
      </c>
      <c r="I13" s="19">
        <v>5850</v>
      </c>
      <c r="J13" s="19">
        <v>440</v>
      </c>
      <c r="K13" s="19" t="s">
        <v>102</v>
      </c>
      <c r="L13" s="51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</row>
    <row r="14" spans="1:25" s="54" customFormat="1" x14ac:dyDescent="0.35">
      <c r="A14" s="18" t="s">
        <v>45</v>
      </c>
      <c r="B14" s="19">
        <f>1440790</f>
        <v>1440790</v>
      </c>
      <c r="C14" s="19"/>
      <c r="D14" s="19">
        <f t="shared" si="0"/>
        <v>1440790</v>
      </c>
      <c r="E14" s="19">
        <v>3451</v>
      </c>
      <c r="F14" s="19">
        <v>30772</v>
      </c>
      <c r="G14" s="19">
        <v>1918</v>
      </c>
      <c r="H14" s="19">
        <v>4804</v>
      </c>
      <c r="I14" s="19">
        <v>15522</v>
      </c>
      <c r="J14" s="19">
        <v>841</v>
      </c>
      <c r="K14" s="19" t="s">
        <v>102</v>
      </c>
      <c r="L14" s="51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</row>
    <row r="15" spans="1:25" s="54" customFormat="1" x14ac:dyDescent="0.35">
      <c r="A15" s="18" t="s">
        <v>46</v>
      </c>
      <c r="B15" s="19">
        <f>1295076</f>
        <v>1295076</v>
      </c>
      <c r="C15" s="19"/>
      <c r="D15" s="19">
        <f t="shared" si="0"/>
        <v>1295076</v>
      </c>
      <c r="E15" s="19">
        <v>3228</v>
      </c>
      <c r="F15" s="19">
        <v>37899</v>
      </c>
      <c r="G15" s="19">
        <v>1669</v>
      </c>
      <c r="H15" s="19">
        <v>5373</v>
      </c>
      <c r="I15" s="19">
        <v>13331</v>
      </c>
      <c r="J15" s="19">
        <v>375</v>
      </c>
      <c r="K15" s="19" t="s">
        <v>102</v>
      </c>
      <c r="L15" s="51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</row>
    <row r="16" spans="1:25" s="54" customFormat="1" x14ac:dyDescent="0.35">
      <c r="A16" s="18" t="s">
        <v>47</v>
      </c>
      <c r="B16" s="19">
        <f>1149370</f>
        <v>1149370</v>
      </c>
      <c r="C16" s="19"/>
      <c r="D16" s="19">
        <f t="shared" si="0"/>
        <v>1149370</v>
      </c>
      <c r="E16" s="19">
        <v>2099</v>
      </c>
      <c r="F16" s="19">
        <v>40093</v>
      </c>
      <c r="G16" s="19">
        <v>1478</v>
      </c>
      <c r="H16" s="19">
        <v>5267</v>
      </c>
      <c r="I16" s="19">
        <v>10918</v>
      </c>
      <c r="J16" s="19">
        <v>796</v>
      </c>
      <c r="K16" s="19" t="s">
        <v>102</v>
      </c>
      <c r="L16" s="51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5" s="54" customFormat="1" x14ac:dyDescent="0.35">
      <c r="A17" s="18" t="s">
        <v>48</v>
      </c>
      <c r="B17" s="19">
        <f>1268146</f>
        <v>1268146</v>
      </c>
      <c r="C17" s="19"/>
      <c r="D17" s="19">
        <f t="shared" si="0"/>
        <v>1268146</v>
      </c>
      <c r="E17" s="19">
        <v>2686</v>
      </c>
      <c r="F17" s="19">
        <v>63708</v>
      </c>
      <c r="G17" s="19">
        <v>1889</v>
      </c>
      <c r="H17" s="19">
        <v>4539</v>
      </c>
      <c r="I17" s="19">
        <v>14848</v>
      </c>
      <c r="J17" s="19">
        <v>800</v>
      </c>
      <c r="K17" s="19" t="s">
        <v>102</v>
      </c>
      <c r="L17" s="51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</row>
    <row r="18" spans="1:25" s="54" customFormat="1" x14ac:dyDescent="0.35">
      <c r="A18" s="18" t="s">
        <v>49</v>
      </c>
      <c r="B18" s="19">
        <f>1290229</f>
        <v>1290229</v>
      </c>
      <c r="C18" s="19"/>
      <c r="D18" s="19">
        <f t="shared" si="0"/>
        <v>1290229</v>
      </c>
      <c r="E18" s="19">
        <v>2556</v>
      </c>
      <c r="F18" s="19">
        <v>62230</v>
      </c>
      <c r="G18" s="19">
        <v>1784</v>
      </c>
      <c r="H18" s="19">
        <v>5742</v>
      </c>
      <c r="I18" s="19">
        <v>15732</v>
      </c>
      <c r="J18" s="19">
        <v>1266</v>
      </c>
      <c r="K18" s="19" t="s">
        <v>102</v>
      </c>
      <c r="L18" s="51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</row>
    <row r="19" spans="1:25" s="54" customFormat="1" x14ac:dyDescent="0.35">
      <c r="A19" s="18" t="s">
        <v>50</v>
      </c>
      <c r="B19" s="19">
        <f>1116309</f>
        <v>1116309</v>
      </c>
      <c r="C19" s="19"/>
      <c r="D19" s="19">
        <f t="shared" si="0"/>
        <v>1116309</v>
      </c>
      <c r="E19" s="19">
        <v>2631</v>
      </c>
      <c r="F19" s="19">
        <v>64278</v>
      </c>
      <c r="G19" s="19">
        <v>1755</v>
      </c>
      <c r="H19" s="19">
        <v>4319</v>
      </c>
      <c r="I19" s="19">
        <v>14002</v>
      </c>
      <c r="J19" s="19">
        <v>1209</v>
      </c>
      <c r="K19" s="19" t="s">
        <v>102</v>
      </c>
      <c r="L19" s="51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</row>
    <row r="20" spans="1:25" s="54" customFormat="1" x14ac:dyDescent="0.35">
      <c r="A20" s="18" t="s">
        <v>51</v>
      </c>
      <c r="B20" s="19">
        <f>819689</f>
        <v>819689</v>
      </c>
      <c r="C20" s="19"/>
      <c r="D20" s="19">
        <f t="shared" si="0"/>
        <v>819689</v>
      </c>
      <c r="E20" s="19">
        <v>2526</v>
      </c>
      <c r="F20" s="19">
        <v>28254</v>
      </c>
      <c r="G20" s="19">
        <v>885</v>
      </c>
      <c r="H20" s="19">
        <v>1971</v>
      </c>
      <c r="I20" s="19">
        <v>8597</v>
      </c>
      <c r="J20" s="19">
        <v>822</v>
      </c>
      <c r="K20" s="19" t="s">
        <v>102</v>
      </c>
      <c r="L20" s="51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</row>
    <row r="21" spans="1:25" s="54" customFormat="1" x14ac:dyDescent="0.35">
      <c r="A21" s="18" t="s">
        <v>52</v>
      </c>
      <c r="B21" s="19">
        <f>323058</f>
        <v>323058</v>
      </c>
      <c r="C21" s="19"/>
      <c r="D21" s="19">
        <f t="shared" si="0"/>
        <v>323058</v>
      </c>
      <c r="E21" s="19">
        <v>1516</v>
      </c>
      <c r="F21" s="19">
        <v>31601</v>
      </c>
      <c r="G21" s="19">
        <v>573</v>
      </c>
      <c r="H21" s="19">
        <v>898</v>
      </c>
      <c r="I21" s="19">
        <v>5271</v>
      </c>
      <c r="J21" s="19">
        <v>518</v>
      </c>
      <c r="K21" s="19" t="s">
        <v>102</v>
      </c>
      <c r="L21" s="51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</row>
    <row r="22" spans="1:25" s="54" customFormat="1" x14ac:dyDescent="0.35">
      <c r="A22" s="18" t="s">
        <v>53</v>
      </c>
      <c r="B22" s="19">
        <f>331386</f>
        <v>331386</v>
      </c>
      <c r="C22" s="19"/>
      <c r="D22" s="19">
        <f t="shared" si="0"/>
        <v>331386</v>
      </c>
      <c r="E22" s="19">
        <v>1541</v>
      </c>
      <c r="F22" s="19">
        <v>24997</v>
      </c>
      <c r="G22" s="19">
        <v>258</v>
      </c>
      <c r="H22" s="19">
        <v>1248</v>
      </c>
      <c r="I22" s="19">
        <v>4846</v>
      </c>
      <c r="J22" s="19">
        <v>368</v>
      </c>
      <c r="K22" s="19" t="s">
        <v>102</v>
      </c>
      <c r="L22" s="51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</row>
    <row r="23" spans="1:25" s="54" customFormat="1" x14ac:dyDescent="0.35">
      <c r="A23" s="18" t="s">
        <v>54</v>
      </c>
      <c r="B23" s="19">
        <f>535138</f>
        <v>535138</v>
      </c>
      <c r="C23" s="19"/>
      <c r="D23" s="19">
        <f t="shared" si="0"/>
        <v>535138</v>
      </c>
      <c r="E23" s="19">
        <v>1993</v>
      </c>
      <c r="F23" s="19">
        <v>47028</v>
      </c>
      <c r="G23" s="19">
        <v>959</v>
      </c>
      <c r="H23" s="19">
        <v>1202</v>
      </c>
      <c r="I23" s="19">
        <v>11978</v>
      </c>
      <c r="J23" s="19">
        <v>713</v>
      </c>
      <c r="K23" s="19" t="s">
        <v>102</v>
      </c>
      <c r="L23" s="51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</row>
    <row r="24" spans="1:25" s="54" customFormat="1" x14ac:dyDescent="0.35">
      <c r="A24" s="18" t="s">
        <v>55</v>
      </c>
      <c r="B24" s="19">
        <f>706444</f>
        <v>706444</v>
      </c>
      <c r="C24" s="19"/>
      <c r="D24" s="19">
        <f t="shared" si="0"/>
        <v>706444</v>
      </c>
      <c r="E24" s="19">
        <v>1840</v>
      </c>
      <c r="F24" s="19">
        <v>44699</v>
      </c>
      <c r="G24" s="19">
        <v>1306</v>
      </c>
      <c r="H24" s="19">
        <v>1692</v>
      </c>
      <c r="I24" s="19">
        <v>11405</v>
      </c>
      <c r="J24" s="19">
        <v>483</v>
      </c>
      <c r="K24" s="19" t="s">
        <v>102</v>
      </c>
      <c r="L24" s="51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</row>
    <row r="25" spans="1:25" s="54" customFormat="1" x14ac:dyDescent="0.35">
      <c r="A25" s="18" t="s">
        <v>56</v>
      </c>
      <c r="B25" s="19">
        <f>745039</f>
        <v>745039</v>
      </c>
      <c r="C25" s="19"/>
      <c r="D25" s="19">
        <f t="shared" si="0"/>
        <v>745039</v>
      </c>
      <c r="E25" s="19">
        <v>3075</v>
      </c>
      <c r="F25" s="19">
        <v>47250</v>
      </c>
      <c r="G25" s="19">
        <v>1275</v>
      </c>
      <c r="H25" s="19">
        <v>3000</v>
      </c>
      <c r="I25" s="19">
        <v>14250</v>
      </c>
      <c r="J25" s="19">
        <v>1297.5</v>
      </c>
      <c r="K25" s="19" t="s">
        <v>102</v>
      </c>
      <c r="L25" s="51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</row>
    <row r="26" spans="1:25" s="54" customFormat="1" x14ac:dyDescent="0.35">
      <c r="A26" s="18" t="s">
        <v>57</v>
      </c>
      <c r="B26" s="19">
        <f>1186593</f>
        <v>1186593</v>
      </c>
      <c r="C26" s="19"/>
      <c r="D26" s="19">
        <f t="shared" si="0"/>
        <v>1186593</v>
      </c>
      <c r="E26" s="19">
        <v>2342</v>
      </c>
      <c r="F26" s="19">
        <v>41872</v>
      </c>
      <c r="G26" s="19">
        <v>1209</v>
      </c>
      <c r="H26" s="19">
        <v>1531</v>
      </c>
      <c r="I26" s="19">
        <v>10235</v>
      </c>
      <c r="J26" s="19">
        <v>936</v>
      </c>
      <c r="K26" s="19" t="s">
        <v>102</v>
      </c>
      <c r="L26" s="51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</row>
    <row r="27" spans="1:25" s="54" customFormat="1" x14ac:dyDescent="0.35">
      <c r="A27" s="18" t="s">
        <v>58</v>
      </c>
      <c r="B27" s="19">
        <f>1013778</f>
        <v>1013778</v>
      </c>
      <c r="C27" s="19"/>
      <c r="D27" s="19">
        <f t="shared" si="0"/>
        <v>1013778</v>
      </c>
      <c r="E27" s="19">
        <v>2323</v>
      </c>
      <c r="F27" s="19">
        <v>49572</v>
      </c>
      <c r="G27" s="19">
        <v>1595</v>
      </c>
      <c r="H27" s="19">
        <v>2352</v>
      </c>
      <c r="I27" s="19">
        <v>17143</v>
      </c>
      <c r="J27" s="19">
        <v>431</v>
      </c>
      <c r="K27" s="19" t="s">
        <v>102</v>
      </c>
      <c r="L27" s="51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</row>
    <row r="28" spans="1:25" s="54" customFormat="1" x14ac:dyDescent="0.35">
      <c r="A28" s="18" t="s">
        <v>59</v>
      </c>
      <c r="B28" s="19">
        <f>904867</f>
        <v>904867</v>
      </c>
      <c r="C28" s="19"/>
      <c r="D28" s="19">
        <f t="shared" si="0"/>
        <v>904867</v>
      </c>
      <c r="E28" s="19">
        <v>1713</v>
      </c>
      <c r="F28" s="19">
        <v>18016</v>
      </c>
      <c r="G28" s="19">
        <v>673</v>
      </c>
      <c r="H28" s="19">
        <v>2130</v>
      </c>
      <c r="I28" s="19">
        <v>9433</v>
      </c>
      <c r="J28" s="19">
        <v>763</v>
      </c>
      <c r="K28" s="19" t="s">
        <v>102</v>
      </c>
      <c r="L28" s="51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</row>
    <row r="29" spans="1:25" s="54" customFormat="1" x14ac:dyDescent="0.35">
      <c r="A29" s="18" t="s">
        <v>111</v>
      </c>
      <c r="B29" s="19">
        <f>1111200</f>
        <v>1111200</v>
      </c>
      <c r="C29" s="19"/>
      <c r="D29" s="19">
        <f t="shared" si="0"/>
        <v>1111200</v>
      </c>
      <c r="E29" s="19">
        <v>2232</v>
      </c>
      <c r="F29" s="19">
        <v>29505</v>
      </c>
      <c r="G29" s="19">
        <v>628</v>
      </c>
      <c r="H29" s="19">
        <v>1721</v>
      </c>
      <c r="I29" s="19">
        <v>14601</v>
      </c>
      <c r="J29" s="19">
        <v>688</v>
      </c>
      <c r="K29" s="19"/>
      <c r="L29" s="51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</row>
    <row r="30" spans="1:25" s="54" customFormat="1" x14ac:dyDescent="0.35">
      <c r="A30" s="18" t="s">
        <v>60</v>
      </c>
      <c r="B30" s="19">
        <f>480768</f>
        <v>480768</v>
      </c>
      <c r="C30" s="19"/>
      <c r="D30" s="19">
        <f t="shared" si="0"/>
        <v>480768</v>
      </c>
      <c r="E30" s="19">
        <v>2278</v>
      </c>
      <c r="F30" s="19">
        <v>37657</v>
      </c>
      <c r="G30" s="19">
        <v>824</v>
      </c>
      <c r="H30" s="19">
        <v>1891</v>
      </c>
      <c r="I30" s="19">
        <v>14445</v>
      </c>
      <c r="J30" s="19">
        <v>972</v>
      </c>
      <c r="K30" s="19" t="s">
        <v>102</v>
      </c>
      <c r="L30" s="51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</row>
    <row r="31" spans="1:25" s="54" customFormat="1" x14ac:dyDescent="0.35">
      <c r="A31" s="25" t="s">
        <v>61</v>
      </c>
      <c r="B31" s="19">
        <f>781658</f>
        <v>781658</v>
      </c>
      <c r="C31" s="19"/>
      <c r="D31" s="19">
        <f t="shared" si="0"/>
        <v>781658</v>
      </c>
      <c r="E31" s="19">
        <v>2819</v>
      </c>
      <c r="F31" s="19">
        <v>38853</v>
      </c>
      <c r="G31" s="19">
        <v>925</v>
      </c>
      <c r="H31" s="19">
        <v>1722</v>
      </c>
      <c r="I31" s="19">
        <v>11825</v>
      </c>
      <c r="J31" s="19">
        <v>968</v>
      </c>
      <c r="K31" s="19" t="s">
        <v>102</v>
      </c>
      <c r="L31" s="51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</row>
    <row r="32" spans="1:25" s="54" customFormat="1" x14ac:dyDescent="0.35">
      <c r="A32" s="25" t="s">
        <v>62</v>
      </c>
      <c r="B32" s="19">
        <f>720402</f>
        <v>720402</v>
      </c>
      <c r="C32" s="19"/>
      <c r="D32" s="19">
        <f t="shared" si="0"/>
        <v>720402</v>
      </c>
      <c r="E32" s="19">
        <v>2375</v>
      </c>
      <c r="F32" s="19">
        <v>43384</v>
      </c>
      <c r="G32" s="19">
        <v>815</v>
      </c>
      <c r="H32" s="19">
        <v>1853</v>
      </c>
      <c r="I32" s="19">
        <v>15962</v>
      </c>
      <c r="J32" s="19">
        <v>761</v>
      </c>
      <c r="K32" s="19" t="s">
        <v>102</v>
      </c>
      <c r="L32" s="51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</row>
    <row r="33" spans="1:25" s="54" customFormat="1" x14ac:dyDescent="0.35">
      <c r="A33" s="25" t="s">
        <v>63</v>
      </c>
      <c r="B33" s="19">
        <f>860608</f>
        <v>860608</v>
      </c>
      <c r="C33" s="19"/>
      <c r="D33" s="19">
        <f t="shared" si="0"/>
        <v>860608</v>
      </c>
      <c r="E33" s="19">
        <v>1654</v>
      </c>
      <c r="F33" s="19">
        <v>38488</v>
      </c>
      <c r="G33" s="19">
        <v>912</v>
      </c>
      <c r="H33" s="19">
        <v>2006</v>
      </c>
      <c r="I33" s="19">
        <v>13806</v>
      </c>
      <c r="J33" s="19">
        <v>1917</v>
      </c>
      <c r="K33" s="19" t="s">
        <v>102</v>
      </c>
      <c r="L33" s="51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</row>
    <row r="34" spans="1:25" s="54" customFormat="1" x14ac:dyDescent="0.35">
      <c r="A34" s="25" t="s">
        <v>64</v>
      </c>
      <c r="B34" s="19">
        <f>906707</f>
        <v>906707</v>
      </c>
      <c r="C34" s="19"/>
      <c r="D34" s="19">
        <f t="shared" si="0"/>
        <v>906707</v>
      </c>
      <c r="E34" s="19">
        <v>2057</v>
      </c>
      <c r="F34" s="19">
        <v>39467</v>
      </c>
      <c r="G34" s="19">
        <v>1151</v>
      </c>
      <c r="H34" s="19">
        <v>2560</v>
      </c>
      <c r="I34" s="19">
        <v>14429</v>
      </c>
      <c r="J34" s="19">
        <v>977</v>
      </c>
      <c r="K34" s="19" t="s">
        <v>102</v>
      </c>
      <c r="L34" s="51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</row>
    <row r="35" spans="1:25" s="54" customFormat="1" x14ac:dyDescent="0.35">
      <c r="A35" s="25" t="s">
        <v>65</v>
      </c>
      <c r="B35" s="19">
        <f>795789</f>
        <v>795789</v>
      </c>
      <c r="C35" s="19"/>
      <c r="D35" s="19">
        <f t="shared" si="0"/>
        <v>795789</v>
      </c>
      <c r="E35" s="19">
        <v>1642</v>
      </c>
      <c r="F35" s="19">
        <v>39689</v>
      </c>
      <c r="G35" s="19">
        <v>923</v>
      </c>
      <c r="H35" s="19">
        <v>1291</v>
      </c>
      <c r="I35" s="19">
        <v>15202</v>
      </c>
      <c r="J35" s="19">
        <v>678</v>
      </c>
      <c r="K35" s="19" t="s">
        <v>102</v>
      </c>
      <c r="L35" s="51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</row>
    <row r="36" spans="1:25" s="54" customFormat="1" x14ac:dyDescent="0.35">
      <c r="A36" s="25" t="s">
        <v>66</v>
      </c>
      <c r="B36" s="19">
        <f>1066037</f>
        <v>1066037</v>
      </c>
      <c r="C36" s="19"/>
      <c r="D36" s="19">
        <f t="shared" si="0"/>
        <v>1066037</v>
      </c>
      <c r="E36" s="19">
        <v>1834</v>
      </c>
      <c r="F36" s="19">
        <v>45740</v>
      </c>
      <c r="G36" s="19">
        <v>876</v>
      </c>
      <c r="H36" s="19">
        <v>2429</v>
      </c>
      <c r="I36" s="19">
        <v>14841</v>
      </c>
      <c r="J36" s="19">
        <v>1384</v>
      </c>
      <c r="K36" s="19" t="s">
        <v>102</v>
      </c>
      <c r="L36" s="51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</row>
    <row r="37" spans="1:25" s="54" customFormat="1" x14ac:dyDescent="0.35">
      <c r="A37" s="18" t="s">
        <v>67</v>
      </c>
      <c r="B37" s="19">
        <f>884605</f>
        <v>884605</v>
      </c>
      <c r="C37" s="19">
        <f>2099-307</f>
        <v>1792</v>
      </c>
      <c r="D37" s="19">
        <f t="shared" si="0"/>
        <v>886397</v>
      </c>
      <c r="E37" s="19">
        <v>3752</v>
      </c>
      <c r="F37" s="19">
        <v>56258</v>
      </c>
      <c r="G37" s="19">
        <v>1292</v>
      </c>
      <c r="H37" s="19">
        <v>3165</v>
      </c>
      <c r="I37" s="19">
        <v>18907</v>
      </c>
      <c r="J37" s="19">
        <v>1384</v>
      </c>
      <c r="K37" s="19" t="s">
        <v>102</v>
      </c>
      <c r="L37" s="51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</row>
    <row r="38" spans="1:25" s="54" customFormat="1" x14ac:dyDescent="0.35">
      <c r="A38" s="18" t="s">
        <v>68</v>
      </c>
      <c r="B38" s="19">
        <f>386629</f>
        <v>386629</v>
      </c>
      <c r="C38" s="23">
        <v>0</v>
      </c>
      <c r="D38" s="19">
        <f t="shared" si="0"/>
        <v>386629</v>
      </c>
      <c r="E38" s="19">
        <v>2006</v>
      </c>
      <c r="F38" s="19">
        <v>21306</v>
      </c>
      <c r="G38" s="19">
        <v>725</v>
      </c>
      <c r="H38" s="19">
        <v>1352</v>
      </c>
      <c r="I38" s="19">
        <v>5893</v>
      </c>
      <c r="J38" s="19">
        <v>410</v>
      </c>
      <c r="K38" s="19" t="s">
        <v>102</v>
      </c>
      <c r="L38" s="51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</row>
    <row r="39" spans="1:25" s="54" customFormat="1" x14ac:dyDescent="0.35">
      <c r="A39" s="18" t="s">
        <v>69</v>
      </c>
      <c r="B39" s="19">
        <f>229137</f>
        <v>229137</v>
      </c>
      <c r="C39" s="19">
        <v>1679</v>
      </c>
      <c r="D39" s="19">
        <f t="shared" si="0"/>
        <v>230816</v>
      </c>
      <c r="E39" s="19">
        <v>1270</v>
      </c>
      <c r="F39" s="19">
        <v>20903</v>
      </c>
      <c r="G39" s="19">
        <v>496</v>
      </c>
      <c r="H39" s="19">
        <v>1724</v>
      </c>
      <c r="I39" s="19">
        <v>5688</v>
      </c>
      <c r="J39" s="19">
        <v>795</v>
      </c>
      <c r="K39" s="19" t="s">
        <v>102</v>
      </c>
      <c r="L39" s="51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</row>
    <row r="40" spans="1:25" s="54" customFormat="1" x14ac:dyDescent="0.35">
      <c r="A40" s="25" t="s">
        <v>70</v>
      </c>
      <c r="B40" s="19">
        <f>404758</f>
        <v>404758</v>
      </c>
      <c r="C40" s="19">
        <v>420</v>
      </c>
      <c r="D40" s="19">
        <f t="shared" si="0"/>
        <v>405178</v>
      </c>
      <c r="E40" s="19">
        <v>2426</v>
      </c>
      <c r="F40" s="19">
        <v>41044</v>
      </c>
      <c r="G40" s="19">
        <v>1122</v>
      </c>
      <c r="H40" s="19">
        <v>2764</v>
      </c>
      <c r="I40" s="19">
        <v>7779</v>
      </c>
      <c r="J40" s="19">
        <v>1403</v>
      </c>
      <c r="K40" s="19" t="s">
        <v>102</v>
      </c>
      <c r="L40" s="51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</row>
    <row r="41" spans="1:25" s="54" customFormat="1" x14ac:dyDescent="0.35">
      <c r="A41" s="18" t="s">
        <v>71</v>
      </c>
      <c r="B41" s="19">
        <v>805820</v>
      </c>
      <c r="C41" s="19">
        <v>1889</v>
      </c>
      <c r="D41" s="19">
        <f t="shared" si="0"/>
        <v>807709</v>
      </c>
      <c r="E41" s="19">
        <v>1798</v>
      </c>
      <c r="F41" s="19">
        <v>33362</v>
      </c>
      <c r="G41" s="19">
        <v>692</v>
      </c>
      <c r="H41" s="19">
        <v>1895</v>
      </c>
      <c r="I41" s="19">
        <v>10009</v>
      </c>
      <c r="J41" s="19">
        <v>816</v>
      </c>
      <c r="K41" s="19" t="s">
        <v>102</v>
      </c>
      <c r="L41" s="51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</row>
    <row r="42" spans="1:25" s="54" customFormat="1" x14ac:dyDescent="0.35">
      <c r="A42" s="18" t="s">
        <v>72</v>
      </c>
      <c r="B42" s="19">
        <v>590161</v>
      </c>
      <c r="C42" s="19">
        <v>700</v>
      </c>
      <c r="D42" s="19">
        <f t="shared" si="0"/>
        <v>590861</v>
      </c>
      <c r="E42" s="19">
        <v>1663</v>
      </c>
      <c r="F42" s="19">
        <v>47339</v>
      </c>
      <c r="G42" s="19">
        <v>650</v>
      </c>
      <c r="H42" s="19">
        <v>2803</v>
      </c>
      <c r="I42" s="19">
        <v>12797</v>
      </c>
      <c r="J42" s="19">
        <v>1385</v>
      </c>
      <c r="K42" s="19" t="s">
        <v>102</v>
      </c>
      <c r="L42" s="51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</row>
    <row r="43" spans="1:25" s="54" customFormat="1" x14ac:dyDescent="0.35">
      <c r="A43" s="18" t="s">
        <v>73</v>
      </c>
      <c r="B43" s="19">
        <v>245685</v>
      </c>
      <c r="C43" s="19">
        <v>1679</v>
      </c>
      <c r="D43" s="19">
        <f t="shared" ref="D43:D60" si="1">SUM(B43:C43)</f>
        <v>247364</v>
      </c>
      <c r="E43" s="19">
        <v>2298</v>
      </c>
      <c r="F43" s="19">
        <v>44182</v>
      </c>
      <c r="G43" s="19">
        <v>430</v>
      </c>
      <c r="H43" s="19">
        <v>3188</v>
      </c>
      <c r="I43" s="19">
        <v>12085</v>
      </c>
      <c r="J43" s="19">
        <v>1280</v>
      </c>
      <c r="K43" s="19" t="s">
        <v>102</v>
      </c>
      <c r="L43" s="51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</row>
    <row r="44" spans="1:25" s="54" customFormat="1" x14ac:dyDescent="0.35">
      <c r="A44" s="18" t="s">
        <v>74</v>
      </c>
      <c r="B44" s="19">
        <v>102962</v>
      </c>
      <c r="C44" s="19">
        <v>776</v>
      </c>
      <c r="D44" s="19">
        <f t="shared" si="1"/>
        <v>103738</v>
      </c>
      <c r="E44" s="19">
        <v>1281</v>
      </c>
      <c r="F44" s="19">
        <v>25025</v>
      </c>
      <c r="G44" s="19">
        <v>183</v>
      </c>
      <c r="H44" s="19">
        <v>1952</v>
      </c>
      <c r="I44" s="19">
        <v>3362</v>
      </c>
      <c r="J44" s="19">
        <v>499</v>
      </c>
      <c r="K44" s="19" t="s">
        <v>102</v>
      </c>
      <c r="L44" s="51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</row>
    <row r="45" spans="1:25" s="54" customFormat="1" x14ac:dyDescent="0.35">
      <c r="A45" s="18" t="s">
        <v>75</v>
      </c>
      <c r="B45" s="19">
        <v>70006</v>
      </c>
      <c r="C45" s="23">
        <v>0</v>
      </c>
      <c r="D45" s="19">
        <f t="shared" si="1"/>
        <v>70006</v>
      </c>
      <c r="E45" s="19">
        <v>407</v>
      </c>
      <c r="F45" s="19">
        <v>4138</v>
      </c>
      <c r="G45" s="19">
        <v>37</v>
      </c>
      <c r="H45" s="19">
        <v>2250</v>
      </c>
      <c r="I45" s="19">
        <v>238</v>
      </c>
      <c r="J45" s="19">
        <v>495</v>
      </c>
      <c r="K45" s="19" t="s">
        <v>102</v>
      </c>
      <c r="L45" s="51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</row>
    <row r="46" spans="1:25" s="54" customFormat="1" x14ac:dyDescent="0.35">
      <c r="A46" s="18" t="s">
        <v>76</v>
      </c>
      <c r="B46" s="19">
        <v>78249</v>
      </c>
      <c r="C46" s="19">
        <v>210</v>
      </c>
      <c r="D46" s="19">
        <f t="shared" si="1"/>
        <v>78459</v>
      </c>
      <c r="E46" s="19">
        <v>1061</v>
      </c>
      <c r="F46" s="19">
        <v>36978</v>
      </c>
      <c r="G46" s="19">
        <v>867</v>
      </c>
      <c r="H46" s="19">
        <v>3448</v>
      </c>
      <c r="I46" s="19">
        <v>8833</v>
      </c>
      <c r="J46" s="19">
        <v>1344</v>
      </c>
      <c r="K46" s="19" t="s">
        <v>102</v>
      </c>
      <c r="L46" s="51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</row>
    <row r="47" spans="1:25" s="54" customFormat="1" x14ac:dyDescent="0.35">
      <c r="A47" s="18" t="s">
        <v>77</v>
      </c>
      <c r="B47" s="19">
        <v>684491</v>
      </c>
      <c r="C47" s="23">
        <v>0</v>
      </c>
      <c r="D47" s="19">
        <f t="shared" si="1"/>
        <v>684491</v>
      </c>
      <c r="E47" s="19">
        <v>1611</v>
      </c>
      <c r="F47" s="19">
        <v>20295</v>
      </c>
      <c r="G47" s="19">
        <v>1047</v>
      </c>
      <c r="H47" s="19">
        <v>2896</v>
      </c>
      <c r="I47" s="19">
        <v>10235</v>
      </c>
      <c r="J47" s="19">
        <v>626</v>
      </c>
      <c r="K47" s="19" t="s">
        <v>102</v>
      </c>
      <c r="L47" s="51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</row>
    <row r="48" spans="1:25" s="54" customFormat="1" x14ac:dyDescent="0.35">
      <c r="A48" s="18" t="s">
        <v>78</v>
      </c>
      <c r="B48" s="19">
        <v>718024</v>
      </c>
      <c r="C48" s="26">
        <v>2099</v>
      </c>
      <c r="D48" s="19">
        <f t="shared" si="1"/>
        <v>720123</v>
      </c>
      <c r="E48" s="19">
        <v>1579</v>
      </c>
      <c r="F48" s="19">
        <v>37535</v>
      </c>
      <c r="G48" s="19">
        <v>1342</v>
      </c>
      <c r="H48" s="19">
        <v>3672</v>
      </c>
      <c r="I48" s="19">
        <v>9535</v>
      </c>
      <c r="J48" s="19">
        <v>1465</v>
      </c>
      <c r="K48" s="19" t="s">
        <v>102</v>
      </c>
      <c r="L48" s="51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</row>
    <row r="49" spans="1:25" s="54" customFormat="1" x14ac:dyDescent="0.35">
      <c r="A49" s="18" t="s">
        <v>79</v>
      </c>
      <c r="B49" s="19">
        <v>718191</v>
      </c>
      <c r="C49" s="26">
        <v>147</v>
      </c>
      <c r="D49" s="19">
        <f t="shared" si="1"/>
        <v>718338</v>
      </c>
      <c r="E49" s="19">
        <v>1632</v>
      </c>
      <c r="F49" s="19">
        <v>19186</v>
      </c>
      <c r="G49" s="19">
        <v>788</v>
      </c>
      <c r="H49" s="19">
        <v>2237</v>
      </c>
      <c r="I49" s="19">
        <v>5187</v>
      </c>
      <c r="J49" s="19">
        <v>1129</v>
      </c>
      <c r="K49" s="19" t="s">
        <v>102</v>
      </c>
      <c r="L49" s="51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</row>
    <row r="50" spans="1:25" s="54" customFormat="1" x14ac:dyDescent="0.35">
      <c r="A50" s="18" t="s">
        <v>80</v>
      </c>
      <c r="B50" s="19">
        <v>396992</v>
      </c>
      <c r="C50" s="26">
        <v>3516</v>
      </c>
      <c r="D50" s="19">
        <f t="shared" si="1"/>
        <v>400508</v>
      </c>
      <c r="E50" s="19">
        <v>2850</v>
      </c>
      <c r="F50" s="19">
        <v>27788</v>
      </c>
      <c r="G50" s="19">
        <v>854</v>
      </c>
      <c r="H50" s="19">
        <v>1445</v>
      </c>
      <c r="I50" s="19">
        <v>7577</v>
      </c>
      <c r="J50" s="19">
        <v>565</v>
      </c>
      <c r="K50" s="19" t="s">
        <v>102</v>
      </c>
      <c r="L50" s="51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</row>
    <row r="51" spans="1:25" s="54" customFormat="1" x14ac:dyDescent="0.35">
      <c r="A51" s="18" t="s">
        <v>81</v>
      </c>
      <c r="B51" s="19">
        <f>[1]ActualDeliveries!E$274</f>
        <v>132269</v>
      </c>
      <c r="C51" s="26">
        <f>[1]ActualDeliveries!E$275</f>
        <v>326</v>
      </c>
      <c r="D51" s="19">
        <f t="shared" si="1"/>
        <v>132595</v>
      </c>
      <c r="E51" s="19">
        <v>869</v>
      </c>
      <c r="F51" s="19">
        <v>19713</v>
      </c>
      <c r="G51" s="19">
        <v>142</v>
      </c>
      <c r="H51" s="19">
        <v>3110</v>
      </c>
      <c r="I51" s="19">
        <v>1699</v>
      </c>
      <c r="J51" s="19">
        <v>1121</v>
      </c>
      <c r="K51" s="19" t="s">
        <v>102</v>
      </c>
      <c r="L51" s="51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</row>
    <row r="52" spans="1:25" s="54" customFormat="1" x14ac:dyDescent="0.35">
      <c r="A52" s="18" t="s">
        <v>82</v>
      </c>
      <c r="B52" s="19">
        <f t="shared" ref="B52:B60" si="2">$B$62</f>
        <v>399746</v>
      </c>
      <c r="C52" s="19">
        <f t="shared" ref="C52:C60" si="3">$C$62</f>
        <v>899.71428571428567</v>
      </c>
      <c r="D52" s="19">
        <f t="shared" si="1"/>
        <v>400645.71428571426</v>
      </c>
      <c r="E52" s="19">
        <v>1429.8571428571429</v>
      </c>
      <c r="F52" s="19">
        <v>23661.857142857141</v>
      </c>
      <c r="G52" s="19">
        <v>725.28571428571433</v>
      </c>
      <c r="H52" s="19">
        <v>2722.5714285714284</v>
      </c>
      <c r="I52" s="19">
        <v>6186.2857142857147</v>
      </c>
      <c r="J52" s="19">
        <v>963.57142857142856</v>
      </c>
      <c r="K52" s="19" t="s">
        <v>102</v>
      </c>
      <c r="L52" s="51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</row>
    <row r="53" spans="1:25" s="54" customFormat="1" x14ac:dyDescent="0.35">
      <c r="A53" s="18" t="s">
        <v>83</v>
      </c>
      <c r="B53" s="19">
        <f t="shared" si="2"/>
        <v>399746</v>
      </c>
      <c r="C53" s="19">
        <f t="shared" si="3"/>
        <v>899.71428571428567</v>
      </c>
      <c r="D53" s="19">
        <f t="shared" si="1"/>
        <v>400645.71428571426</v>
      </c>
      <c r="E53" s="19">
        <v>1429.8571428571429</v>
      </c>
      <c r="F53" s="19">
        <v>23661.857142857141</v>
      </c>
      <c r="G53" s="19">
        <v>725.28571428571433</v>
      </c>
      <c r="H53" s="19">
        <v>2722.5714285714284</v>
      </c>
      <c r="I53" s="19">
        <v>6186.2857142857147</v>
      </c>
      <c r="J53" s="19">
        <v>963.57142857142856</v>
      </c>
      <c r="K53" s="19" t="s">
        <v>102</v>
      </c>
      <c r="L53" s="51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</row>
    <row r="54" spans="1:25" s="54" customFormat="1" x14ac:dyDescent="0.35">
      <c r="A54" s="18" t="s">
        <v>84</v>
      </c>
      <c r="B54" s="19">
        <f t="shared" si="2"/>
        <v>399746</v>
      </c>
      <c r="C54" s="19">
        <f t="shared" si="3"/>
        <v>899.71428571428567</v>
      </c>
      <c r="D54" s="19">
        <f t="shared" si="1"/>
        <v>400645.71428571426</v>
      </c>
      <c r="E54" s="19">
        <v>1429.8571428571429</v>
      </c>
      <c r="F54" s="19">
        <v>23661.857142857141</v>
      </c>
      <c r="G54" s="19">
        <v>725.28571428571433</v>
      </c>
      <c r="H54" s="19">
        <v>2722.5714285714284</v>
      </c>
      <c r="I54" s="19">
        <v>6186.2857142857147</v>
      </c>
      <c r="J54" s="19">
        <v>963.57142857142856</v>
      </c>
      <c r="K54" s="19" t="s">
        <v>102</v>
      </c>
      <c r="L54" s="51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</row>
    <row r="55" spans="1:25" s="54" customFormat="1" x14ac:dyDescent="0.35">
      <c r="A55" s="18" t="s">
        <v>85</v>
      </c>
      <c r="B55" s="19">
        <f t="shared" si="2"/>
        <v>399746</v>
      </c>
      <c r="C55" s="19">
        <f t="shared" si="3"/>
        <v>899.71428571428567</v>
      </c>
      <c r="D55" s="19">
        <f t="shared" si="1"/>
        <v>400645.71428571426</v>
      </c>
      <c r="E55" s="19">
        <v>1429.8571428571429</v>
      </c>
      <c r="F55" s="19">
        <v>23661.857142857141</v>
      </c>
      <c r="G55" s="19">
        <v>725.28571428571433</v>
      </c>
      <c r="H55" s="19">
        <v>2722.5714285714284</v>
      </c>
      <c r="I55" s="19">
        <v>6186.2857142857147</v>
      </c>
      <c r="J55" s="19">
        <v>963.57142857142856</v>
      </c>
      <c r="K55" s="19" t="s">
        <v>102</v>
      </c>
      <c r="L55" s="51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</row>
    <row r="56" spans="1:25" s="54" customFormat="1" x14ac:dyDescent="0.35">
      <c r="A56" s="18" t="s">
        <v>86</v>
      </c>
      <c r="B56" s="19">
        <f t="shared" si="2"/>
        <v>399746</v>
      </c>
      <c r="C56" s="19">
        <f t="shared" si="3"/>
        <v>899.71428571428567</v>
      </c>
      <c r="D56" s="19">
        <f t="shared" si="1"/>
        <v>400645.71428571426</v>
      </c>
      <c r="E56" s="19">
        <v>1429.8571428571429</v>
      </c>
      <c r="F56" s="19">
        <v>23661.857142857141</v>
      </c>
      <c r="G56" s="19">
        <v>725.28571428571433</v>
      </c>
      <c r="H56" s="19">
        <v>2722.5714285714284</v>
      </c>
      <c r="I56" s="19">
        <v>6186.2857142857147</v>
      </c>
      <c r="J56" s="19">
        <v>963.57142857142856</v>
      </c>
      <c r="K56" s="19" t="s">
        <v>102</v>
      </c>
      <c r="L56" s="51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</row>
    <row r="57" spans="1:25" s="54" customFormat="1" x14ac:dyDescent="0.35">
      <c r="A57" s="18" t="s">
        <v>87</v>
      </c>
      <c r="B57" s="19">
        <f t="shared" si="2"/>
        <v>399746</v>
      </c>
      <c r="C57" s="19">
        <f t="shared" si="3"/>
        <v>899.71428571428567</v>
      </c>
      <c r="D57" s="19">
        <f t="shared" si="1"/>
        <v>400645.71428571426</v>
      </c>
      <c r="E57" s="19">
        <v>1429.8571428571429</v>
      </c>
      <c r="F57" s="19">
        <v>23661.857142857141</v>
      </c>
      <c r="G57" s="19">
        <v>725.28571428571433</v>
      </c>
      <c r="H57" s="19">
        <v>2722.5714285714284</v>
      </c>
      <c r="I57" s="19">
        <v>6186.2857142857147</v>
      </c>
      <c r="J57" s="19">
        <v>963.57142857142856</v>
      </c>
      <c r="K57" s="19" t="s">
        <v>102</v>
      </c>
      <c r="L57" s="51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</row>
    <row r="58" spans="1:25" s="54" customFormat="1" x14ac:dyDescent="0.35">
      <c r="A58" s="18" t="s">
        <v>88</v>
      </c>
      <c r="B58" s="19">
        <f t="shared" si="2"/>
        <v>399746</v>
      </c>
      <c r="C58" s="19">
        <f t="shared" si="3"/>
        <v>899.71428571428567</v>
      </c>
      <c r="D58" s="19">
        <f t="shared" si="1"/>
        <v>400645.71428571426</v>
      </c>
      <c r="E58" s="19">
        <v>1429.8571428571429</v>
      </c>
      <c r="F58" s="19">
        <v>23661.857142857141</v>
      </c>
      <c r="G58" s="19">
        <v>725.28571428571433</v>
      </c>
      <c r="H58" s="19">
        <v>2722.5714285714284</v>
      </c>
      <c r="I58" s="19">
        <v>6186.2857142857147</v>
      </c>
      <c r="J58" s="19">
        <v>963.57142857142856</v>
      </c>
      <c r="K58" s="19" t="s">
        <v>102</v>
      </c>
      <c r="L58" s="51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</row>
    <row r="59" spans="1:25" s="54" customFormat="1" x14ac:dyDescent="0.35">
      <c r="A59" s="18" t="s">
        <v>89</v>
      </c>
      <c r="B59" s="19">
        <f t="shared" si="2"/>
        <v>399746</v>
      </c>
      <c r="C59" s="19">
        <f t="shared" si="3"/>
        <v>899.71428571428567</v>
      </c>
      <c r="D59" s="19">
        <f t="shared" si="1"/>
        <v>400645.71428571426</v>
      </c>
      <c r="E59" s="19">
        <v>1429.8571428571429</v>
      </c>
      <c r="F59" s="19">
        <v>23661.857142857141</v>
      </c>
      <c r="G59" s="19">
        <v>725.28571428571433</v>
      </c>
      <c r="H59" s="19">
        <v>2722.5714285714284</v>
      </c>
      <c r="I59" s="19">
        <v>6186.2857142857147</v>
      </c>
      <c r="J59" s="19">
        <v>963.57142857142856</v>
      </c>
      <c r="K59" s="19" t="s">
        <v>102</v>
      </c>
      <c r="L59" s="51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</row>
    <row r="60" spans="1:25" s="54" customFormat="1" ht="16" thickBot="1" x14ac:dyDescent="0.4">
      <c r="A60" s="18" t="s">
        <v>90</v>
      </c>
      <c r="B60" s="19">
        <f t="shared" si="2"/>
        <v>399746</v>
      </c>
      <c r="C60" s="19">
        <f t="shared" si="3"/>
        <v>899.71428571428567</v>
      </c>
      <c r="D60" s="19">
        <f t="shared" si="1"/>
        <v>400645.71428571426</v>
      </c>
      <c r="E60" s="19">
        <v>1429.8571428571429</v>
      </c>
      <c r="F60" s="19">
        <v>23661.857142857141</v>
      </c>
      <c r="G60" s="19">
        <v>725.28571428571433</v>
      </c>
      <c r="H60" s="19">
        <v>2722.5714285714284</v>
      </c>
      <c r="I60" s="19">
        <v>6186.2857142857147</v>
      </c>
      <c r="J60" s="19">
        <v>963.57142857142856</v>
      </c>
      <c r="K60" s="19" t="s">
        <v>102</v>
      </c>
      <c r="L60" s="51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</row>
    <row r="61" spans="1:25" s="54" customFormat="1" x14ac:dyDescent="0.35">
      <c r="A61" s="18" t="s">
        <v>91</v>
      </c>
      <c r="B61" s="27">
        <f t="shared" ref="B61:J61" si="4">SUM(B11:B60)</f>
        <v>34274241</v>
      </c>
      <c r="C61" s="27">
        <f t="shared" si="4"/>
        <v>23330.428571428576</v>
      </c>
      <c r="D61" s="27">
        <f t="shared" si="4"/>
        <v>34297571.428571418</v>
      </c>
      <c r="E61" s="27">
        <f t="shared" si="4"/>
        <v>95335.714285714304</v>
      </c>
      <c r="F61" s="27">
        <f t="shared" si="4"/>
        <v>1686362.7142857134</v>
      </c>
      <c r="G61" s="27">
        <f t="shared" si="4"/>
        <v>46048.571428571457</v>
      </c>
      <c r="H61" s="27">
        <f t="shared" si="4"/>
        <v>135790.1428571429</v>
      </c>
      <c r="I61" s="27">
        <f t="shared" si="4"/>
        <v>474833.57142857165</v>
      </c>
      <c r="J61" s="27">
        <f t="shared" si="4"/>
        <v>44684.642857142848</v>
      </c>
      <c r="K61" s="19"/>
      <c r="L61" s="51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</row>
    <row r="62" spans="1:25" s="54" customFormat="1" x14ac:dyDescent="0.35">
      <c r="A62" s="18" t="str">
        <f>Page_17!A58</f>
        <v>7 - Year Hist Avg (A-12)</v>
      </c>
      <c r="B62" s="19">
        <f>AVERAGE(B45:B51)</f>
        <v>399746</v>
      </c>
      <c r="C62" s="19">
        <f>AVERAGE(C45:C51)</f>
        <v>899.71428571428567</v>
      </c>
      <c r="D62" s="19">
        <f>SUM(B62:C62)</f>
        <v>400645.71428571426</v>
      </c>
      <c r="E62" s="19">
        <f t="shared" ref="E62:J62" si="5">AVERAGE(E45:E51)</f>
        <v>1429.8571428571429</v>
      </c>
      <c r="F62" s="19">
        <f t="shared" si="5"/>
        <v>23661.857142857141</v>
      </c>
      <c r="G62" s="19">
        <f t="shared" si="5"/>
        <v>725.28571428571433</v>
      </c>
      <c r="H62" s="19">
        <f t="shared" si="5"/>
        <v>2722.5714285714284</v>
      </c>
      <c r="I62" s="19">
        <f t="shared" si="5"/>
        <v>6186.2857142857147</v>
      </c>
      <c r="J62" s="19">
        <f t="shared" si="5"/>
        <v>963.57142857142856</v>
      </c>
      <c r="K62" s="19"/>
      <c r="L62" s="51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</row>
    <row r="63" spans="1:25" s="54" customFormat="1" x14ac:dyDescent="0.35">
      <c r="A63" s="65" t="str">
        <f>Page_17!A59</f>
        <v>Projected Del. (A-2ba)</v>
      </c>
      <c r="B63" s="19">
        <f t="shared" ref="B63:J63" si="6">SUM(B53:B60)</f>
        <v>3197968</v>
      </c>
      <c r="C63" s="19">
        <f t="shared" si="6"/>
        <v>7197.7142857142844</v>
      </c>
      <c r="D63" s="19">
        <f t="shared" si="6"/>
        <v>3205165.7142857136</v>
      </c>
      <c r="E63" s="19">
        <f t="shared" si="6"/>
        <v>11438.857142857143</v>
      </c>
      <c r="F63" s="19">
        <f t="shared" si="6"/>
        <v>189294.8571428571</v>
      </c>
      <c r="G63" s="19">
        <f t="shared" si="6"/>
        <v>5802.2857142857156</v>
      </c>
      <c r="H63" s="19">
        <f t="shared" si="6"/>
        <v>21780.571428571424</v>
      </c>
      <c r="I63" s="19">
        <f t="shared" si="6"/>
        <v>49490.285714285725</v>
      </c>
      <c r="J63" s="19">
        <f t="shared" si="6"/>
        <v>7708.5714285714284</v>
      </c>
      <c r="K63" s="19"/>
      <c r="L63" s="51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</row>
    <row r="64" spans="1:25" x14ac:dyDescent="0.35">
      <c r="A64" s="55"/>
      <c r="B64" s="5"/>
      <c r="C64" s="5"/>
      <c r="D64" s="5"/>
      <c r="E64" s="57"/>
      <c r="F64" s="57"/>
      <c r="G64" s="57"/>
      <c r="H64" s="19"/>
      <c r="I64" s="57"/>
      <c r="J64" s="57"/>
      <c r="K64" s="57"/>
      <c r="L64" s="57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</row>
    <row r="65" spans="1:25" x14ac:dyDescent="0.35">
      <c r="A65" s="55"/>
      <c r="B65" s="5"/>
      <c r="C65" s="5"/>
      <c r="D65" s="5"/>
      <c r="E65" s="57"/>
      <c r="F65" s="57"/>
      <c r="G65" s="57"/>
      <c r="H65" s="57"/>
      <c r="I65" s="57"/>
      <c r="J65" s="57"/>
      <c r="K65" s="57"/>
      <c r="L65" s="57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</row>
    <row r="66" spans="1:25" x14ac:dyDescent="0.35">
      <c r="A66" s="55"/>
      <c r="B66" s="5"/>
      <c r="C66" s="5"/>
      <c r="D66" s="5"/>
      <c r="E66" s="57"/>
      <c r="F66" s="57"/>
      <c r="G66" s="57"/>
      <c r="H66" s="57"/>
      <c r="I66" s="57"/>
      <c r="J66" s="57"/>
      <c r="K66" s="57"/>
      <c r="L66" s="57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</row>
    <row r="67" spans="1:25" x14ac:dyDescent="0.35">
      <c r="A67" s="55"/>
      <c r="B67" s="5"/>
      <c r="C67" s="5"/>
      <c r="D67" s="5"/>
      <c r="E67" s="57"/>
      <c r="F67" s="57"/>
      <c r="G67" s="57"/>
      <c r="H67" s="57"/>
      <c r="I67" s="57"/>
      <c r="J67" s="57"/>
      <c r="K67" s="57"/>
      <c r="L67" s="57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</row>
    <row r="68" spans="1:25" x14ac:dyDescent="0.35">
      <c r="A68" s="55"/>
      <c r="B68" s="5"/>
      <c r="C68" s="5"/>
      <c r="D68" s="5"/>
      <c r="E68" s="57"/>
      <c r="F68" s="57"/>
      <c r="G68" s="57"/>
      <c r="H68" s="57"/>
      <c r="I68" s="57"/>
      <c r="J68" s="57"/>
      <c r="K68" s="57"/>
      <c r="L68" s="57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</row>
    <row r="69" spans="1:25" x14ac:dyDescent="0.35">
      <c r="A69" s="55"/>
      <c r="B69" s="5"/>
      <c r="C69" s="5"/>
      <c r="D69" s="5"/>
      <c r="E69" s="57"/>
      <c r="F69" s="57"/>
      <c r="G69" s="57"/>
      <c r="H69" s="57"/>
      <c r="I69" s="57"/>
      <c r="J69" s="57"/>
      <c r="K69" s="57"/>
      <c r="L69" s="57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</row>
    <row r="70" spans="1:25" x14ac:dyDescent="0.35">
      <c r="A70" s="55"/>
      <c r="B70" s="5"/>
      <c r="C70" s="5"/>
      <c r="D70" s="5"/>
      <c r="E70" s="57"/>
      <c r="F70" s="57"/>
      <c r="G70" s="57"/>
      <c r="H70" s="57"/>
      <c r="I70" s="57"/>
      <c r="J70" s="57"/>
      <c r="K70" s="57"/>
      <c r="L70" s="57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</row>
    <row r="71" spans="1:25" x14ac:dyDescent="0.35">
      <c r="A71" s="55"/>
      <c r="B71" s="5"/>
      <c r="C71" s="5"/>
      <c r="D71" s="5"/>
      <c r="E71" s="57"/>
      <c r="F71" s="57"/>
      <c r="G71" s="57"/>
      <c r="H71" s="57"/>
      <c r="I71" s="57"/>
      <c r="J71" s="57"/>
      <c r="K71" s="57"/>
      <c r="L71" s="57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</row>
    <row r="72" spans="1:25" x14ac:dyDescent="0.35">
      <c r="A72" s="55"/>
      <c r="B72" s="5"/>
      <c r="C72" s="5"/>
      <c r="D72" s="5"/>
      <c r="E72" s="57"/>
      <c r="F72" s="57"/>
      <c r="G72" s="57"/>
      <c r="H72" s="57"/>
      <c r="I72" s="57"/>
      <c r="J72" s="57"/>
      <c r="K72" s="57"/>
      <c r="L72" s="57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</row>
    <row r="73" spans="1:25" x14ac:dyDescent="0.35">
      <c r="A73" s="55"/>
      <c r="B73" s="5"/>
      <c r="C73" s="5"/>
      <c r="D73" s="5"/>
      <c r="E73" s="57"/>
      <c r="F73" s="57"/>
      <c r="G73" s="57"/>
      <c r="H73" s="57"/>
      <c r="I73" s="57"/>
      <c r="J73" s="57"/>
      <c r="K73" s="57"/>
      <c r="L73" s="57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</row>
    <row r="74" spans="1:25" x14ac:dyDescent="0.35">
      <c r="A74" s="55"/>
      <c r="B74" s="5"/>
      <c r="C74" s="5"/>
      <c r="D74" s="5"/>
      <c r="E74" s="57"/>
      <c r="F74" s="57"/>
      <c r="G74" s="57"/>
      <c r="H74" s="57"/>
      <c r="I74" s="57"/>
      <c r="J74" s="57"/>
      <c r="K74" s="57"/>
      <c r="L74" s="57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</row>
    <row r="75" spans="1:25" x14ac:dyDescent="0.35">
      <c r="A75" s="55"/>
      <c r="B75" s="5"/>
      <c r="C75" s="5"/>
      <c r="D75" s="5"/>
      <c r="E75" s="57"/>
      <c r="F75" s="57"/>
      <c r="G75" s="57"/>
      <c r="H75" s="57"/>
      <c r="I75" s="57"/>
      <c r="J75" s="57"/>
      <c r="K75" s="57"/>
      <c r="L75" s="57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</row>
    <row r="76" spans="1:25" x14ac:dyDescent="0.35">
      <c r="A76" s="55"/>
      <c r="B76" s="5"/>
      <c r="C76" s="5"/>
      <c r="D76" s="5"/>
      <c r="E76" s="57"/>
      <c r="F76" s="57"/>
      <c r="G76" s="57"/>
      <c r="H76" s="57"/>
      <c r="I76" s="57"/>
      <c r="J76" s="57"/>
      <c r="K76" s="57"/>
      <c r="L76" s="57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</row>
    <row r="77" spans="1:25" x14ac:dyDescent="0.35">
      <c r="A77" s="55"/>
      <c r="B77" s="5"/>
      <c r="C77" s="5"/>
      <c r="D77" s="5"/>
      <c r="E77" s="57"/>
      <c r="F77" s="57"/>
      <c r="G77" s="57"/>
      <c r="H77" s="57"/>
      <c r="I77" s="57"/>
      <c r="J77" s="57"/>
      <c r="K77" s="57"/>
      <c r="L77" s="57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</row>
    <row r="78" spans="1:25" x14ac:dyDescent="0.35">
      <c r="A78" s="55"/>
      <c r="B78" s="5"/>
      <c r="C78" s="5"/>
      <c r="D78" s="5"/>
      <c r="E78" s="57"/>
      <c r="F78" s="57"/>
      <c r="G78" s="57"/>
      <c r="H78" s="57"/>
      <c r="I78" s="57"/>
      <c r="J78" s="57"/>
      <c r="K78" s="57"/>
      <c r="L78" s="57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</row>
    <row r="79" spans="1:25" x14ac:dyDescent="0.35">
      <c r="A79" s="55"/>
      <c r="B79" s="5"/>
      <c r="C79" s="5"/>
      <c r="D79" s="5"/>
      <c r="E79" s="57"/>
      <c r="F79" s="57"/>
      <c r="G79" s="57"/>
      <c r="H79" s="57"/>
      <c r="I79" s="57"/>
      <c r="J79" s="57"/>
      <c r="K79" s="57"/>
      <c r="L79" s="57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</row>
    <row r="80" spans="1:25" x14ac:dyDescent="0.35">
      <c r="A80" s="55"/>
      <c r="B80" s="5"/>
      <c r="C80" s="5"/>
      <c r="D80" s="5"/>
      <c r="E80" s="57"/>
      <c r="F80" s="57"/>
      <c r="G80" s="57"/>
      <c r="H80" s="57"/>
      <c r="I80" s="57"/>
      <c r="J80" s="57"/>
      <c r="K80" s="57"/>
      <c r="L80" s="57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</row>
    <row r="81" spans="1:25" x14ac:dyDescent="0.35">
      <c r="A81" s="55"/>
      <c r="B81" s="5"/>
      <c r="C81" s="5"/>
      <c r="D81" s="5"/>
      <c r="E81" s="57"/>
      <c r="F81" s="57"/>
      <c r="G81" s="57"/>
      <c r="H81" s="57"/>
      <c r="I81" s="57"/>
      <c r="J81" s="57"/>
      <c r="K81" s="57"/>
      <c r="L81" s="57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</row>
    <row r="82" spans="1:25" x14ac:dyDescent="0.35">
      <c r="A82" s="55"/>
      <c r="B82" s="5"/>
      <c r="C82" s="5"/>
      <c r="D82" s="5"/>
      <c r="E82" s="57"/>
      <c r="F82" s="57"/>
      <c r="G82" s="57"/>
      <c r="H82" s="57"/>
      <c r="I82" s="57"/>
      <c r="J82" s="57"/>
      <c r="K82" s="57"/>
      <c r="L82" s="57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</row>
    <row r="83" spans="1:25" x14ac:dyDescent="0.35">
      <c r="A83" s="55"/>
      <c r="B83" s="5"/>
      <c r="C83" s="5"/>
      <c r="D83" s="5"/>
      <c r="E83" s="57"/>
      <c r="F83" s="57"/>
      <c r="G83" s="57"/>
      <c r="H83" s="57"/>
      <c r="I83" s="57"/>
      <c r="J83" s="57"/>
      <c r="K83" s="57"/>
      <c r="L83" s="57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</row>
    <row r="84" spans="1:25" x14ac:dyDescent="0.35">
      <c r="A84" s="55"/>
      <c r="B84" s="5"/>
      <c r="C84" s="5"/>
      <c r="D84" s="5"/>
      <c r="E84" s="57"/>
      <c r="F84" s="57"/>
      <c r="G84" s="57"/>
      <c r="H84" s="57"/>
      <c r="I84" s="57"/>
      <c r="J84" s="57"/>
      <c r="K84" s="57"/>
      <c r="L84" s="57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</row>
    <row r="85" spans="1:25" x14ac:dyDescent="0.35">
      <c r="A85" s="55"/>
      <c r="B85" s="5"/>
      <c r="C85" s="5"/>
      <c r="D85" s="5"/>
      <c r="E85" s="57"/>
      <c r="F85" s="57"/>
      <c r="G85" s="57"/>
      <c r="H85" s="57"/>
      <c r="I85" s="57"/>
      <c r="J85" s="57"/>
      <c r="K85" s="57"/>
      <c r="L85" s="57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</row>
    <row r="86" spans="1:25" x14ac:dyDescent="0.35">
      <c r="A86" s="55"/>
      <c r="B86" s="5"/>
      <c r="C86" s="5"/>
      <c r="D86" s="5"/>
      <c r="E86" s="57"/>
      <c r="F86" s="57"/>
      <c r="G86" s="57"/>
      <c r="H86" s="57"/>
      <c r="I86" s="57"/>
      <c r="J86" s="57"/>
      <c r="K86" s="57"/>
      <c r="L86" s="57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</row>
    <row r="87" spans="1:25" x14ac:dyDescent="0.35">
      <c r="A87" s="55"/>
      <c r="B87" s="5"/>
      <c r="C87" s="5"/>
      <c r="D87" s="5"/>
      <c r="E87" s="57"/>
      <c r="F87" s="57"/>
      <c r="G87" s="57"/>
      <c r="H87" s="57"/>
      <c r="I87" s="57"/>
      <c r="J87" s="57"/>
      <c r="K87" s="57"/>
      <c r="L87" s="57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</row>
    <row r="88" spans="1:25" x14ac:dyDescent="0.35">
      <c r="A88" s="55"/>
      <c r="B88" s="5"/>
      <c r="C88" s="5"/>
      <c r="D88" s="5"/>
      <c r="E88" s="57"/>
      <c r="F88" s="57"/>
      <c r="G88" s="57"/>
      <c r="H88" s="57"/>
      <c r="I88" s="57"/>
      <c r="J88" s="57"/>
      <c r="K88" s="57"/>
      <c r="L88" s="57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</row>
    <row r="89" spans="1:25" x14ac:dyDescent="0.35">
      <c r="A89" s="55"/>
      <c r="B89" s="5"/>
      <c r="C89" s="5"/>
      <c r="D89" s="5"/>
      <c r="E89" s="57"/>
      <c r="F89" s="57"/>
      <c r="G89" s="57"/>
      <c r="H89" s="57"/>
      <c r="I89" s="57"/>
      <c r="J89" s="57"/>
      <c r="K89" s="57"/>
      <c r="L89" s="57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</row>
    <row r="90" spans="1:25" x14ac:dyDescent="0.35">
      <c r="A90" s="55"/>
      <c r="B90" s="5"/>
      <c r="C90" s="5"/>
      <c r="D90" s="5"/>
      <c r="E90" s="57"/>
      <c r="F90" s="57"/>
      <c r="G90" s="57"/>
      <c r="H90" s="57"/>
      <c r="I90" s="57"/>
      <c r="J90" s="57"/>
      <c r="K90" s="57"/>
      <c r="L90" s="57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</row>
    <row r="91" spans="1:25" x14ac:dyDescent="0.35">
      <c r="A91" s="55"/>
      <c r="B91" s="5"/>
      <c r="C91" s="5"/>
      <c r="D91" s="5"/>
      <c r="E91" s="57"/>
      <c r="F91" s="57"/>
      <c r="G91" s="57"/>
      <c r="H91" s="57"/>
      <c r="I91" s="57"/>
      <c r="J91" s="57"/>
      <c r="K91" s="57"/>
      <c r="L91" s="57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</row>
    <row r="92" spans="1:25" x14ac:dyDescent="0.35">
      <c r="A92" s="55"/>
      <c r="B92" s="5"/>
      <c r="C92" s="5"/>
      <c r="D92" s="5"/>
      <c r="E92" s="57"/>
      <c r="F92" s="57"/>
      <c r="G92" s="57"/>
      <c r="H92" s="57"/>
      <c r="I92" s="57"/>
      <c r="J92" s="57"/>
      <c r="K92" s="57"/>
      <c r="L92" s="57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</row>
    <row r="93" spans="1:25" x14ac:dyDescent="0.35">
      <c r="A93" s="55"/>
      <c r="B93" s="5"/>
      <c r="C93" s="5"/>
      <c r="D93" s="5"/>
      <c r="E93" s="57"/>
      <c r="F93" s="57"/>
      <c r="G93" s="57"/>
      <c r="H93" s="57"/>
      <c r="I93" s="57"/>
      <c r="J93" s="57"/>
      <c r="K93" s="57"/>
      <c r="L93" s="57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</row>
    <row r="94" spans="1:25" x14ac:dyDescent="0.35">
      <c r="A94" s="55"/>
      <c r="B94" s="5"/>
      <c r="C94" s="5"/>
      <c r="D94" s="5"/>
      <c r="E94" s="57"/>
      <c r="F94" s="57"/>
      <c r="G94" s="57"/>
      <c r="H94" s="57"/>
      <c r="I94" s="57"/>
      <c r="J94" s="57"/>
      <c r="K94" s="57"/>
      <c r="L94" s="57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</row>
    <row r="95" spans="1:25" x14ac:dyDescent="0.35">
      <c r="A95" s="55"/>
      <c r="B95" s="5"/>
      <c r="C95" s="5"/>
      <c r="D95" s="5"/>
      <c r="E95" s="57"/>
      <c r="F95" s="57"/>
      <c r="G95" s="57"/>
      <c r="H95" s="57"/>
      <c r="I95" s="57"/>
      <c r="J95" s="57"/>
      <c r="K95" s="57"/>
      <c r="L95" s="57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</row>
    <row r="96" spans="1:25" x14ac:dyDescent="0.35">
      <c r="A96" s="55"/>
      <c r="B96" s="5"/>
      <c r="C96" s="5"/>
      <c r="D96" s="5"/>
      <c r="E96" s="57"/>
      <c r="F96" s="57"/>
      <c r="G96" s="57"/>
      <c r="H96" s="57"/>
      <c r="I96" s="57"/>
      <c r="J96" s="57"/>
      <c r="K96" s="57"/>
      <c r="L96" s="57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</row>
    <row r="97" spans="1:25" x14ac:dyDescent="0.35">
      <c r="A97" s="55"/>
      <c r="B97" s="5"/>
      <c r="C97" s="5"/>
      <c r="D97" s="5"/>
      <c r="E97" s="57"/>
      <c r="F97" s="57"/>
      <c r="G97" s="57"/>
      <c r="H97" s="57"/>
      <c r="I97" s="57"/>
      <c r="J97" s="57"/>
      <c r="K97" s="57"/>
      <c r="L97" s="57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</row>
    <row r="98" spans="1:25" x14ac:dyDescent="0.35">
      <c r="A98" s="55"/>
      <c r="B98" s="5"/>
      <c r="C98" s="5"/>
      <c r="D98" s="5"/>
      <c r="E98" s="57"/>
      <c r="F98" s="57"/>
      <c r="G98" s="57"/>
      <c r="H98" s="57"/>
      <c r="I98" s="57"/>
      <c r="J98" s="57"/>
      <c r="K98" s="57"/>
      <c r="L98" s="57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</row>
    <row r="99" spans="1:25" x14ac:dyDescent="0.35">
      <c r="A99" s="55"/>
      <c r="B99" s="5"/>
      <c r="C99" s="5"/>
      <c r="D99" s="5"/>
      <c r="E99" s="57"/>
      <c r="F99" s="57"/>
      <c r="G99" s="57"/>
      <c r="H99" s="57"/>
      <c r="I99" s="57"/>
      <c r="J99" s="57"/>
      <c r="K99" s="57"/>
      <c r="L99" s="57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</row>
    <row r="100" spans="1:25" x14ac:dyDescent="0.35">
      <c r="A100" s="55"/>
      <c r="B100" s="5"/>
      <c r="C100" s="5"/>
      <c r="D100" s="5"/>
      <c r="E100" s="57"/>
      <c r="F100" s="57"/>
      <c r="G100" s="57"/>
      <c r="H100" s="57"/>
      <c r="I100" s="57"/>
      <c r="J100" s="57"/>
      <c r="K100" s="57"/>
      <c r="L100" s="57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</row>
    <row r="101" spans="1:25" x14ac:dyDescent="0.35">
      <c r="A101" s="55"/>
      <c r="B101" s="5"/>
      <c r="C101" s="5"/>
      <c r="D101" s="5"/>
      <c r="E101" s="57"/>
      <c r="F101" s="57"/>
      <c r="G101" s="57"/>
      <c r="H101" s="57"/>
      <c r="I101" s="57"/>
      <c r="J101" s="57"/>
      <c r="K101" s="57"/>
      <c r="L101" s="57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</row>
    <row r="102" spans="1:25" x14ac:dyDescent="0.35">
      <c r="A102" s="55"/>
      <c r="B102" s="5"/>
      <c r="C102" s="5"/>
      <c r="D102" s="5"/>
      <c r="E102" s="57"/>
      <c r="F102" s="57"/>
      <c r="G102" s="57"/>
      <c r="H102" s="57"/>
      <c r="I102" s="57"/>
      <c r="J102" s="57"/>
      <c r="K102" s="57"/>
      <c r="L102" s="57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</row>
    <row r="103" spans="1:25" x14ac:dyDescent="0.35">
      <c r="A103" s="55"/>
      <c r="B103" s="5"/>
      <c r="C103" s="5"/>
      <c r="D103" s="5"/>
      <c r="E103" s="57"/>
      <c r="F103" s="57"/>
      <c r="G103" s="57"/>
      <c r="H103" s="57"/>
      <c r="I103" s="57"/>
      <c r="J103" s="57"/>
      <c r="K103" s="57"/>
      <c r="L103" s="57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</row>
    <row r="104" spans="1:25" x14ac:dyDescent="0.35">
      <c r="A104" s="55"/>
      <c r="B104" s="5"/>
      <c r="C104" s="5"/>
      <c r="D104" s="5"/>
      <c r="E104" s="57"/>
      <c r="F104" s="57"/>
      <c r="G104" s="57"/>
      <c r="H104" s="57"/>
      <c r="I104" s="57"/>
      <c r="J104" s="57"/>
      <c r="K104" s="57"/>
      <c r="L104" s="57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</row>
    <row r="105" spans="1:25" x14ac:dyDescent="0.35">
      <c r="A105" s="55"/>
      <c r="B105" s="5"/>
      <c r="C105" s="5"/>
      <c r="D105" s="5"/>
      <c r="E105" s="57"/>
      <c r="F105" s="57"/>
      <c r="G105" s="57"/>
      <c r="H105" s="57"/>
      <c r="I105" s="57"/>
      <c r="J105" s="57"/>
      <c r="K105" s="57"/>
      <c r="L105" s="57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</row>
    <row r="106" spans="1:25" x14ac:dyDescent="0.35">
      <c r="A106" s="55"/>
      <c r="B106" s="5"/>
      <c r="C106" s="5"/>
      <c r="D106" s="5"/>
      <c r="E106" s="57"/>
      <c r="F106" s="57"/>
      <c r="G106" s="57"/>
      <c r="H106" s="57"/>
      <c r="I106" s="57"/>
      <c r="J106" s="57"/>
      <c r="K106" s="57"/>
      <c r="L106" s="57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</row>
    <row r="107" spans="1:25" x14ac:dyDescent="0.35">
      <c r="A107" s="55"/>
      <c r="B107" s="5"/>
      <c r="C107" s="5"/>
      <c r="D107" s="5"/>
      <c r="E107" s="57"/>
      <c r="F107" s="57"/>
      <c r="G107" s="57"/>
      <c r="H107" s="57"/>
      <c r="I107" s="57"/>
      <c r="J107" s="57"/>
      <c r="K107" s="57"/>
      <c r="L107" s="57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</row>
    <row r="108" spans="1:25" x14ac:dyDescent="0.35">
      <c r="A108" s="55"/>
      <c r="B108" s="5"/>
      <c r="C108" s="5"/>
      <c r="D108" s="5"/>
      <c r="E108" s="57"/>
      <c r="F108" s="57"/>
      <c r="G108" s="57"/>
      <c r="H108" s="57"/>
      <c r="I108" s="57"/>
      <c r="J108" s="57"/>
      <c r="K108" s="57"/>
      <c r="L108" s="57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</row>
    <row r="109" spans="1:25" x14ac:dyDescent="0.35">
      <c r="A109" s="55"/>
      <c r="B109" s="5"/>
      <c r="C109" s="5"/>
      <c r="D109" s="5"/>
      <c r="E109" s="57"/>
      <c r="F109" s="57"/>
      <c r="G109" s="57"/>
      <c r="H109" s="57"/>
      <c r="I109" s="57"/>
      <c r="J109" s="57"/>
      <c r="K109" s="57"/>
      <c r="L109" s="57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</row>
    <row r="110" spans="1:25" x14ac:dyDescent="0.35">
      <c r="A110" s="55"/>
      <c r="B110" s="5"/>
      <c r="C110" s="5"/>
      <c r="D110" s="5"/>
      <c r="E110" s="57"/>
      <c r="F110" s="57"/>
      <c r="G110" s="57"/>
      <c r="H110" s="57"/>
      <c r="I110" s="57"/>
      <c r="J110" s="57"/>
      <c r="K110" s="57"/>
      <c r="L110" s="57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</row>
    <row r="111" spans="1:25" x14ac:dyDescent="0.35">
      <c r="A111" s="55"/>
      <c r="B111" s="5"/>
      <c r="C111" s="5"/>
      <c r="D111" s="5"/>
      <c r="E111" s="57"/>
      <c r="F111" s="57"/>
      <c r="G111" s="57"/>
      <c r="H111" s="57"/>
      <c r="I111" s="57"/>
      <c r="J111" s="57"/>
      <c r="K111" s="57"/>
      <c r="L111" s="57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</row>
    <row r="112" spans="1:25" x14ac:dyDescent="0.35">
      <c r="A112" s="55"/>
      <c r="B112" s="5"/>
      <c r="C112" s="5"/>
      <c r="D112" s="5"/>
      <c r="E112" s="57"/>
      <c r="F112" s="57"/>
      <c r="G112" s="57"/>
      <c r="H112" s="57"/>
      <c r="I112" s="57"/>
      <c r="J112" s="57"/>
      <c r="K112" s="57"/>
      <c r="L112" s="57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</row>
    <row r="113" spans="1:25" x14ac:dyDescent="0.35">
      <c r="A113" s="55"/>
      <c r="B113" s="5"/>
      <c r="C113" s="5"/>
      <c r="D113" s="5"/>
      <c r="E113" s="57"/>
      <c r="F113" s="57"/>
      <c r="G113" s="57"/>
      <c r="H113" s="57"/>
      <c r="I113" s="57"/>
      <c r="J113" s="57"/>
      <c r="K113" s="57"/>
      <c r="L113" s="57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</row>
    <row r="114" spans="1:25" x14ac:dyDescent="0.35">
      <c r="A114" s="55"/>
      <c r="B114" s="5"/>
      <c r="C114" s="5"/>
      <c r="D114" s="5"/>
      <c r="E114" s="57"/>
      <c r="F114" s="57"/>
      <c r="G114" s="57"/>
      <c r="H114" s="57"/>
      <c r="I114" s="57"/>
      <c r="J114" s="57"/>
      <c r="K114" s="57"/>
      <c r="L114" s="57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</row>
    <row r="115" spans="1:25" x14ac:dyDescent="0.35">
      <c r="A115" s="55"/>
      <c r="B115" s="5"/>
      <c r="C115" s="5"/>
      <c r="D115" s="5"/>
      <c r="E115" s="57"/>
      <c r="F115" s="57"/>
      <c r="G115" s="57"/>
      <c r="H115" s="57"/>
      <c r="I115" s="57"/>
      <c r="J115" s="57"/>
      <c r="K115" s="57"/>
      <c r="L115" s="57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</row>
    <row r="116" spans="1:25" x14ac:dyDescent="0.35">
      <c r="A116" s="55"/>
      <c r="B116" s="5"/>
      <c r="C116" s="5"/>
      <c r="D116" s="5"/>
      <c r="E116" s="57"/>
      <c r="F116" s="57"/>
      <c r="G116" s="57"/>
      <c r="H116" s="57"/>
      <c r="I116" s="57"/>
      <c r="J116" s="57"/>
      <c r="K116" s="57"/>
      <c r="L116" s="57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</row>
    <row r="117" spans="1:25" x14ac:dyDescent="0.35">
      <c r="A117" s="55"/>
      <c r="B117" s="5"/>
      <c r="C117" s="5"/>
      <c r="D117" s="5"/>
      <c r="E117" s="57"/>
      <c r="F117" s="57"/>
      <c r="G117" s="57"/>
      <c r="H117" s="57"/>
      <c r="I117" s="57"/>
      <c r="J117" s="57"/>
      <c r="K117" s="57"/>
      <c r="L117" s="57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</row>
    <row r="118" spans="1:25" x14ac:dyDescent="0.35">
      <c r="A118" s="55"/>
      <c r="B118" s="5"/>
      <c r="C118" s="5"/>
      <c r="D118" s="5"/>
      <c r="E118" s="57"/>
      <c r="F118" s="57"/>
      <c r="G118" s="57"/>
      <c r="H118" s="57"/>
      <c r="I118" s="57"/>
      <c r="J118" s="57"/>
      <c r="K118" s="57"/>
      <c r="L118" s="57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</row>
    <row r="119" spans="1:25" x14ac:dyDescent="0.35">
      <c r="A119" s="55"/>
      <c r="B119" s="5"/>
      <c r="C119" s="5"/>
      <c r="D119" s="5"/>
      <c r="E119" s="57"/>
      <c r="F119" s="57"/>
      <c r="G119" s="57"/>
      <c r="H119" s="57"/>
      <c r="I119" s="57"/>
      <c r="J119" s="57"/>
      <c r="K119" s="57"/>
      <c r="L119" s="57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</row>
    <row r="120" spans="1:25" x14ac:dyDescent="0.35">
      <c r="A120" s="55"/>
      <c r="B120" s="5"/>
      <c r="C120" s="5"/>
      <c r="D120" s="5"/>
      <c r="E120" s="57"/>
      <c r="F120" s="57"/>
      <c r="G120" s="57"/>
      <c r="H120" s="57"/>
      <c r="I120" s="57"/>
      <c r="J120" s="57"/>
      <c r="K120" s="57"/>
      <c r="L120" s="57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</row>
    <row r="121" spans="1:25" x14ac:dyDescent="0.35">
      <c r="A121" s="55"/>
      <c r="B121" s="5"/>
      <c r="C121" s="5"/>
      <c r="D121" s="5"/>
      <c r="E121" s="57"/>
      <c r="F121" s="57"/>
      <c r="G121" s="57"/>
      <c r="H121" s="57"/>
      <c r="I121" s="57"/>
      <c r="J121" s="57"/>
      <c r="K121" s="57"/>
      <c r="L121" s="57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</row>
    <row r="122" spans="1:25" x14ac:dyDescent="0.35">
      <c r="A122" s="55"/>
      <c r="B122" s="5"/>
      <c r="C122" s="5"/>
      <c r="D122" s="5"/>
      <c r="E122" s="57"/>
      <c r="F122" s="57"/>
      <c r="G122" s="57"/>
      <c r="H122" s="57"/>
      <c r="I122" s="57"/>
      <c r="J122" s="57"/>
      <c r="K122" s="57"/>
      <c r="L122" s="57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</row>
    <row r="123" spans="1:25" x14ac:dyDescent="0.35">
      <c r="A123" s="55"/>
      <c r="B123" s="5"/>
      <c r="C123" s="5"/>
      <c r="D123" s="5"/>
      <c r="E123" s="57"/>
      <c r="F123" s="57"/>
      <c r="G123" s="57"/>
      <c r="H123" s="57"/>
      <c r="I123" s="57"/>
      <c r="J123" s="57"/>
      <c r="K123" s="57"/>
      <c r="L123" s="57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</row>
    <row r="124" spans="1:25" x14ac:dyDescent="0.35">
      <c r="A124" s="55"/>
      <c r="B124" s="5"/>
      <c r="C124" s="5"/>
      <c r="D124" s="5"/>
      <c r="E124" s="57"/>
      <c r="F124" s="57"/>
      <c r="G124" s="57"/>
      <c r="H124" s="57"/>
      <c r="I124" s="57"/>
      <c r="J124" s="57"/>
      <c r="K124" s="57"/>
      <c r="L124" s="57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</row>
    <row r="125" spans="1:25" x14ac:dyDescent="0.35">
      <c r="A125" s="55"/>
      <c r="B125" s="5"/>
      <c r="C125" s="5"/>
      <c r="D125" s="5"/>
      <c r="E125" s="57"/>
      <c r="F125" s="57"/>
      <c r="G125" s="57"/>
      <c r="H125" s="57"/>
      <c r="I125" s="57"/>
      <c r="J125" s="57"/>
      <c r="K125" s="57"/>
      <c r="L125" s="57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</row>
    <row r="126" spans="1:25" x14ac:dyDescent="0.35">
      <c r="A126" s="55"/>
      <c r="B126" s="5"/>
      <c r="C126" s="5"/>
      <c r="D126" s="5"/>
      <c r="E126" s="57"/>
      <c r="F126" s="57"/>
      <c r="G126" s="57"/>
      <c r="H126" s="57"/>
      <c r="I126" s="57"/>
      <c r="J126" s="57"/>
      <c r="K126" s="57"/>
      <c r="L126" s="57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</row>
    <row r="127" spans="1:25" x14ac:dyDescent="0.35">
      <c r="A127" s="55"/>
      <c r="B127" s="5"/>
      <c r="C127" s="5"/>
      <c r="D127" s="5"/>
      <c r="E127" s="57"/>
      <c r="F127" s="57"/>
      <c r="G127" s="57"/>
      <c r="H127" s="57"/>
      <c r="I127" s="57"/>
      <c r="J127" s="57"/>
      <c r="K127" s="57"/>
      <c r="L127" s="57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</row>
    <row r="128" spans="1:25" x14ac:dyDescent="0.35"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</row>
    <row r="129" spans="5:25" x14ac:dyDescent="0.35"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</row>
    <row r="130" spans="5:25" x14ac:dyDescent="0.35"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</row>
    <row r="131" spans="5:25" x14ac:dyDescent="0.35"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</row>
    <row r="132" spans="5:25" x14ac:dyDescent="0.35"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</row>
    <row r="133" spans="5:25" x14ac:dyDescent="0.35"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</row>
    <row r="134" spans="5:25" x14ac:dyDescent="0.35"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</row>
    <row r="135" spans="5:25" x14ac:dyDescent="0.35"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</row>
    <row r="136" spans="5:25" x14ac:dyDescent="0.35"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</row>
    <row r="137" spans="5:25" x14ac:dyDescent="0.35"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</row>
    <row r="138" spans="5:25" x14ac:dyDescent="0.35"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</row>
    <row r="139" spans="5:25" x14ac:dyDescent="0.35"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</row>
    <row r="140" spans="5:25" x14ac:dyDescent="0.35"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</row>
    <row r="141" spans="5:25" x14ac:dyDescent="0.35"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</row>
    <row r="142" spans="5:25" x14ac:dyDescent="0.35"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</row>
    <row r="143" spans="5:25" x14ac:dyDescent="0.35"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</row>
    <row r="144" spans="5:25" x14ac:dyDescent="0.35"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</row>
    <row r="145" spans="5:25" x14ac:dyDescent="0.35"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</row>
    <row r="146" spans="5:25" x14ac:dyDescent="0.35"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</row>
    <row r="147" spans="5:25" x14ac:dyDescent="0.35"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</row>
    <row r="148" spans="5:25" x14ac:dyDescent="0.35"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</row>
    <row r="149" spans="5:25" x14ac:dyDescent="0.35"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</row>
    <row r="150" spans="5:25" x14ac:dyDescent="0.35"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</row>
    <row r="151" spans="5:25" x14ac:dyDescent="0.35"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</row>
    <row r="152" spans="5:25" x14ac:dyDescent="0.35"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</row>
    <row r="153" spans="5:25" x14ac:dyDescent="0.35"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</row>
    <row r="154" spans="5:25" x14ac:dyDescent="0.35"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</row>
    <row r="155" spans="5:25" x14ac:dyDescent="0.35"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</row>
    <row r="156" spans="5:25" x14ac:dyDescent="0.35"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</row>
    <row r="157" spans="5:25" x14ac:dyDescent="0.35"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</row>
    <row r="158" spans="5:25" x14ac:dyDescent="0.35"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</row>
    <row r="159" spans="5:25" x14ac:dyDescent="0.35"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</row>
  </sheetData>
  <printOptions horizontalCentered="1"/>
  <pageMargins left="0.25" right="0.25" top="0.5" bottom="0.5" header="0.3" footer="0.3"/>
  <pageSetup scale="51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Button 1">
              <controlPr defaultSize="0" print="0" autoFill="0" autoPict="0" macro="[0]!pdfPage22">
                <anchor moveWithCells="1" sizeWithCells="1">
                  <from>
                    <xdr:col>0</xdr:col>
                    <xdr:colOff>19050</xdr:colOff>
                    <xdr:row>0</xdr:row>
                    <xdr:rowOff>12700</xdr:rowOff>
                  </from>
                  <to>
                    <xdr:col>0</xdr:col>
                    <xdr:colOff>50800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6352A-CBDA-4AD7-8729-7F30C262D425}">
  <sheetPr transitionEvaluation="1" transitionEntry="1" codeName="Sheet24">
    <pageSetUpPr fitToPage="1"/>
  </sheetPr>
  <dimension ref="A1:IH152"/>
  <sheetViews>
    <sheetView defaultGridColor="0" topLeftCell="A25" colorId="22" zoomScale="85" zoomScaleNormal="85" zoomScaleSheetLayoutView="120" workbookViewId="0">
      <selection activeCell="C45" sqref="C45"/>
    </sheetView>
  </sheetViews>
  <sheetFormatPr defaultColWidth="9.58203125" defaultRowHeight="15.5" x14ac:dyDescent="0.35"/>
  <cols>
    <col min="1" max="1" width="40.58203125" style="83" customWidth="1"/>
    <col min="2" max="10" width="18.83203125" customWidth="1"/>
    <col min="11" max="11" width="3.58203125" customWidth="1"/>
  </cols>
  <sheetData>
    <row r="1" spans="1:48" s="59" customFormat="1" ht="18.5" x14ac:dyDescent="0.45">
      <c r="A1" s="67" t="str">
        <f>Page_1!A1</f>
        <v>IRR 2023 Sch A-13 F.Z25.XLSM</v>
      </c>
      <c r="B1" s="32"/>
      <c r="C1" s="33"/>
      <c r="D1" s="33"/>
      <c r="E1" s="33"/>
      <c r="F1" s="33"/>
      <c r="G1" s="60"/>
      <c r="H1" s="33"/>
      <c r="I1" s="33"/>
      <c r="J1" s="84"/>
      <c r="K1" s="32"/>
      <c r="L1" s="32"/>
    </row>
    <row r="2" spans="1:48" s="59" customFormat="1" ht="18.5" x14ac:dyDescent="0.45">
      <c r="A2" s="11" t="str">
        <f>Page_1!A2</f>
        <v>09/20/2022</v>
      </c>
      <c r="C2" s="33"/>
      <c r="D2" s="33"/>
      <c r="E2" s="33"/>
      <c r="F2" s="33"/>
      <c r="G2" s="33"/>
      <c r="H2" s="33"/>
      <c r="I2" s="33"/>
      <c r="J2" s="84"/>
      <c r="K2" s="32"/>
      <c r="L2" s="32"/>
    </row>
    <row r="3" spans="1:48" s="59" customFormat="1" ht="18.5" x14ac:dyDescent="0.45">
      <c r="A3" s="31" t="str">
        <f>Page_1!A3</f>
        <v>CENTRAL VALLEY PROJECT</v>
      </c>
      <c r="B3" s="33"/>
      <c r="C3" s="33"/>
      <c r="D3" s="33"/>
      <c r="E3" s="33"/>
      <c r="F3" s="33"/>
      <c r="G3" s="33"/>
      <c r="H3" s="33"/>
      <c r="I3" s="33"/>
      <c r="J3" s="84"/>
      <c r="K3" s="32"/>
      <c r="L3" s="32"/>
    </row>
    <row r="4" spans="1:48" s="14" customFormat="1" ht="55.5" x14ac:dyDescent="0.45">
      <c r="A4" s="12" t="str">
        <f>Page_1!A4</f>
        <v>SCHEDULE OF HISTORICAL (1981-2021) &amp; PROJECTED (2022-2030) IRRIGATION WATER DELIVERIES (IN ACRE FEET)</v>
      </c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</row>
    <row r="5" spans="1:48" s="14" customFormat="1" ht="55.5" x14ac:dyDescent="0.45">
      <c r="A5" s="31" t="str">
        <f>Page_1!A5</f>
        <v>FOR CALCULATION OF INDIVIDUAL CONTRACTOR PRORATED CONSTRUCTION COSTS AND RATE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</row>
    <row r="6" spans="1:48" s="69" customFormat="1" ht="93" x14ac:dyDescent="0.35">
      <c r="A6" s="367" t="s">
        <v>34</v>
      </c>
      <c r="B6" s="420" t="s">
        <v>277</v>
      </c>
      <c r="C6" s="420" t="s">
        <v>278</v>
      </c>
      <c r="D6" s="420" t="s">
        <v>279</v>
      </c>
      <c r="E6" s="420" t="s">
        <v>280</v>
      </c>
      <c r="F6" s="420" t="s">
        <v>281</v>
      </c>
      <c r="G6" s="420" t="s">
        <v>282</v>
      </c>
      <c r="H6" s="420" t="s">
        <v>283</v>
      </c>
      <c r="I6" s="420" t="s">
        <v>284</v>
      </c>
      <c r="J6" s="423" t="s">
        <v>285</v>
      </c>
      <c r="K6" s="68"/>
      <c r="L6" s="68"/>
    </row>
    <row r="7" spans="1:48" s="54" customFormat="1" ht="17" x14ac:dyDescent="0.4">
      <c r="A7" s="134">
        <v>1981</v>
      </c>
      <c r="B7" s="135">
        <v>14535</v>
      </c>
      <c r="C7" s="136">
        <v>0</v>
      </c>
      <c r="D7" s="135">
        <v>36544</v>
      </c>
      <c r="E7" s="135">
        <v>105</v>
      </c>
      <c r="F7" s="135">
        <v>4549</v>
      </c>
      <c r="G7" s="136">
        <v>0</v>
      </c>
      <c r="H7" s="135">
        <v>48108</v>
      </c>
      <c r="I7" s="135">
        <v>25381</v>
      </c>
      <c r="J7" s="135">
        <v>165404</v>
      </c>
      <c r="K7" s="19" t="s">
        <v>102</v>
      </c>
      <c r="L7" s="19" t="s">
        <v>102</v>
      </c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</row>
    <row r="8" spans="1:48" s="54" customFormat="1" ht="17" x14ac:dyDescent="0.4">
      <c r="A8" s="134">
        <v>1982</v>
      </c>
      <c r="B8" s="135">
        <v>7951</v>
      </c>
      <c r="C8" s="135">
        <v>1363</v>
      </c>
      <c r="D8" s="135">
        <v>33288</v>
      </c>
      <c r="E8" s="135">
        <v>294</v>
      </c>
      <c r="F8" s="135">
        <v>7490</v>
      </c>
      <c r="G8" s="135">
        <v>209</v>
      </c>
      <c r="H8" s="135">
        <v>46521</v>
      </c>
      <c r="I8" s="135">
        <v>24423</v>
      </c>
      <c r="J8" s="135">
        <v>154113</v>
      </c>
      <c r="K8" s="19" t="s">
        <v>102</v>
      </c>
      <c r="L8" s="19" t="s">
        <v>102</v>
      </c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</row>
    <row r="9" spans="1:48" s="54" customFormat="1" ht="17" x14ac:dyDescent="0.4">
      <c r="A9" s="134">
        <v>1983</v>
      </c>
      <c r="B9" s="135">
        <v>5127</v>
      </c>
      <c r="C9" s="135">
        <v>1440</v>
      </c>
      <c r="D9" s="135">
        <v>26308</v>
      </c>
      <c r="E9" s="135">
        <v>427</v>
      </c>
      <c r="F9" s="135">
        <v>4239</v>
      </c>
      <c r="G9" s="135">
        <v>49</v>
      </c>
      <c r="H9" s="135">
        <v>47822</v>
      </c>
      <c r="I9" s="135">
        <v>21766</v>
      </c>
      <c r="J9" s="135">
        <v>137739</v>
      </c>
      <c r="K9" s="19" t="s">
        <v>102</v>
      </c>
      <c r="L9" s="19" t="s">
        <v>102</v>
      </c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</row>
    <row r="10" spans="1:48" s="54" customFormat="1" ht="17" x14ac:dyDescent="0.4">
      <c r="A10" s="134">
        <v>1984</v>
      </c>
      <c r="B10" s="135">
        <v>13362</v>
      </c>
      <c r="C10" s="135">
        <v>1937</v>
      </c>
      <c r="D10" s="135">
        <v>39394</v>
      </c>
      <c r="E10" s="135">
        <v>470</v>
      </c>
      <c r="F10" s="135">
        <v>6663</v>
      </c>
      <c r="G10" s="135">
        <v>353</v>
      </c>
      <c r="H10" s="135">
        <v>75318</v>
      </c>
      <c r="I10" s="135">
        <v>36382</v>
      </c>
      <c r="J10" s="135">
        <v>231187</v>
      </c>
      <c r="K10" s="19" t="s">
        <v>102</v>
      </c>
      <c r="L10" s="19" t="s">
        <v>102</v>
      </c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</row>
    <row r="11" spans="1:48" s="54" customFormat="1" ht="17" x14ac:dyDescent="0.4">
      <c r="A11" s="134">
        <v>1985</v>
      </c>
      <c r="B11" s="135">
        <v>14663</v>
      </c>
      <c r="C11" s="135">
        <v>2293</v>
      </c>
      <c r="D11" s="135">
        <v>41517</v>
      </c>
      <c r="E11" s="135">
        <v>380</v>
      </c>
      <c r="F11" s="135">
        <v>6705</v>
      </c>
      <c r="G11" s="135">
        <v>686</v>
      </c>
      <c r="H11" s="135">
        <v>70756</v>
      </c>
      <c r="I11" s="135">
        <v>33795</v>
      </c>
      <c r="J11" s="135">
        <v>232670</v>
      </c>
      <c r="K11" s="19" t="s">
        <v>102</v>
      </c>
      <c r="L11" s="19" t="s">
        <v>102</v>
      </c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</row>
    <row r="12" spans="1:48" s="54" customFormat="1" ht="17" x14ac:dyDescent="0.4">
      <c r="A12" s="134">
        <v>1986</v>
      </c>
      <c r="B12" s="135">
        <v>10645</v>
      </c>
      <c r="C12" s="135">
        <v>1939</v>
      </c>
      <c r="D12" s="135">
        <v>39697</v>
      </c>
      <c r="E12" s="135">
        <v>546</v>
      </c>
      <c r="F12" s="135">
        <v>6388</v>
      </c>
      <c r="G12" s="135">
        <v>652</v>
      </c>
      <c r="H12" s="135">
        <v>64009</v>
      </c>
      <c r="I12" s="135">
        <v>33612</v>
      </c>
      <c r="J12" s="135">
        <v>218139</v>
      </c>
      <c r="K12" s="19" t="s">
        <v>102</v>
      </c>
      <c r="L12" s="19" t="s">
        <v>102</v>
      </c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</row>
    <row r="13" spans="1:48" s="54" customFormat="1" ht="17" x14ac:dyDescent="0.4">
      <c r="A13" s="134">
        <v>1987</v>
      </c>
      <c r="B13" s="135">
        <v>11353</v>
      </c>
      <c r="C13" s="135">
        <v>2420</v>
      </c>
      <c r="D13" s="135">
        <v>39858</v>
      </c>
      <c r="E13" s="135">
        <v>520</v>
      </c>
      <c r="F13" s="135">
        <v>6384</v>
      </c>
      <c r="G13" s="135">
        <v>414</v>
      </c>
      <c r="H13" s="135">
        <v>72339</v>
      </c>
      <c r="I13" s="135">
        <v>39882</v>
      </c>
      <c r="J13" s="135">
        <v>261640</v>
      </c>
      <c r="K13" s="19" t="s">
        <v>102</v>
      </c>
      <c r="L13" s="19" t="s">
        <v>102</v>
      </c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</row>
    <row r="14" spans="1:48" s="54" customFormat="1" ht="17" x14ac:dyDescent="0.4">
      <c r="A14" s="134">
        <v>1988</v>
      </c>
      <c r="B14" s="135">
        <v>10177</v>
      </c>
      <c r="C14" s="135">
        <v>2583</v>
      </c>
      <c r="D14" s="135">
        <v>42650</v>
      </c>
      <c r="E14" s="135">
        <v>737</v>
      </c>
      <c r="F14" s="135">
        <v>6704</v>
      </c>
      <c r="G14" s="135">
        <v>365</v>
      </c>
      <c r="H14" s="135">
        <v>70695</v>
      </c>
      <c r="I14" s="135">
        <v>36150</v>
      </c>
      <c r="J14" s="135">
        <v>259371</v>
      </c>
      <c r="K14" s="19" t="s">
        <v>102</v>
      </c>
      <c r="L14" s="19" t="s">
        <v>102</v>
      </c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</row>
    <row r="15" spans="1:48" s="54" customFormat="1" ht="17" x14ac:dyDescent="0.4">
      <c r="A15" s="134">
        <v>1989</v>
      </c>
      <c r="B15" s="135">
        <v>10633</v>
      </c>
      <c r="C15" s="135">
        <v>1364</v>
      </c>
      <c r="D15" s="135">
        <v>37286</v>
      </c>
      <c r="E15" s="135">
        <v>684</v>
      </c>
      <c r="F15" s="135">
        <v>5789</v>
      </c>
      <c r="G15" s="135">
        <v>255</v>
      </c>
      <c r="H15" s="135">
        <v>57562</v>
      </c>
      <c r="I15" s="135">
        <v>34286</v>
      </c>
      <c r="J15" s="135">
        <v>236053</v>
      </c>
      <c r="K15" s="19" t="s">
        <v>102</v>
      </c>
      <c r="L15" s="19" t="s">
        <v>102</v>
      </c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</row>
    <row r="16" spans="1:48" s="54" customFormat="1" ht="17" x14ac:dyDescent="0.4">
      <c r="A16" s="134">
        <v>1990</v>
      </c>
      <c r="B16" s="135">
        <v>4680</v>
      </c>
      <c r="C16" s="135">
        <v>2087</v>
      </c>
      <c r="D16" s="135">
        <v>25682</v>
      </c>
      <c r="E16" s="135">
        <v>797</v>
      </c>
      <c r="F16" s="135">
        <v>4689</v>
      </c>
      <c r="G16" s="135">
        <v>128</v>
      </c>
      <c r="H16" s="135">
        <v>20580</v>
      </c>
      <c r="I16" s="135">
        <v>32372</v>
      </c>
      <c r="J16" s="135">
        <v>134070</v>
      </c>
      <c r="K16" s="19" t="s">
        <v>102</v>
      </c>
      <c r="L16" s="19" t="s">
        <v>102</v>
      </c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</row>
    <row r="17" spans="1:48" s="54" customFormat="1" ht="17" x14ac:dyDescent="0.4">
      <c r="A17" s="134">
        <v>1991</v>
      </c>
      <c r="B17" s="135">
        <v>3439</v>
      </c>
      <c r="C17" s="135">
        <v>745</v>
      </c>
      <c r="D17" s="135">
        <v>10981</v>
      </c>
      <c r="E17" s="135">
        <v>616</v>
      </c>
      <c r="F17" s="135">
        <v>2480</v>
      </c>
      <c r="G17" s="136">
        <v>0</v>
      </c>
      <c r="H17" s="135">
        <v>23555</v>
      </c>
      <c r="I17" s="135">
        <v>18315</v>
      </c>
      <c r="J17" s="135">
        <v>100508</v>
      </c>
      <c r="K17" s="19" t="s">
        <v>102</v>
      </c>
      <c r="L17" s="19" t="s">
        <v>102</v>
      </c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</row>
    <row r="18" spans="1:48" s="54" customFormat="1" ht="17" x14ac:dyDescent="0.4">
      <c r="A18" s="134">
        <v>1992</v>
      </c>
      <c r="B18" s="135">
        <v>2861</v>
      </c>
      <c r="C18" s="135">
        <v>479</v>
      </c>
      <c r="D18" s="135">
        <v>11742</v>
      </c>
      <c r="E18" s="135">
        <v>706</v>
      </c>
      <c r="F18" s="135">
        <v>2138</v>
      </c>
      <c r="G18" s="135">
        <v>64</v>
      </c>
      <c r="H18" s="135">
        <v>16289</v>
      </c>
      <c r="I18" s="135">
        <v>15755</v>
      </c>
      <c r="J18" s="135">
        <v>83292</v>
      </c>
      <c r="K18" s="19" t="s">
        <v>102</v>
      </c>
      <c r="L18" s="19" t="s">
        <v>102</v>
      </c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</row>
    <row r="19" spans="1:48" s="54" customFormat="1" ht="17" x14ac:dyDescent="0.4">
      <c r="A19" s="134">
        <v>1993</v>
      </c>
      <c r="B19" s="135">
        <v>10598</v>
      </c>
      <c r="C19" s="135">
        <v>1217</v>
      </c>
      <c r="D19" s="135">
        <v>28518</v>
      </c>
      <c r="E19" s="135">
        <v>539</v>
      </c>
      <c r="F19" s="135">
        <v>3505</v>
      </c>
      <c r="G19" s="135">
        <v>94</v>
      </c>
      <c r="H19" s="135">
        <v>46102</v>
      </c>
      <c r="I19" s="135">
        <v>38166</v>
      </c>
      <c r="J19" s="135">
        <v>192612</v>
      </c>
      <c r="K19" s="19" t="s">
        <v>102</v>
      </c>
      <c r="L19" s="19" t="s">
        <v>102</v>
      </c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</row>
    <row r="20" spans="1:48" s="54" customFormat="1" ht="17" x14ac:dyDescent="0.4">
      <c r="A20" s="134">
        <v>1994</v>
      </c>
      <c r="B20" s="135">
        <v>10606</v>
      </c>
      <c r="C20" s="135">
        <v>774</v>
      </c>
      <c r="D20" s="135">
        <v>25553</v>
      </c>
      <c r="E20" s="135">
        <v>742</v>
      </c>
      <c r="F20" s="135">
        <v>2379</v>
      </c>
      <c r="G20" s="135">
        <v>210</v>
      </c>
      <c r="H20" s="135">
        <v>34654</v>
      </c>
      <c r="I20" s="135">
        <v>33937</v>
      </c>
      <c r="J20" s="135">
        <v>170280</v>
      </c>
      <c r="K20" s="19" t="s">
        <v>102</v>
      </c>
      <c r="L20" s="19" t="s">
        <v>102</v>
      </c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</row>
    <row r="21" spans="1:48" s="54" customFormat="1" ht="17" x14ac:dyDescent="0.4">
      <c r="A21" s="134">
        <v>1995</v>
      </c>
      <c r="B21" s="135">
        <v>7875</v>
      </c>
      <c r="C21" s="135">
        <v>1837.5</v>
      </c>
      <c r="D21" s="135">
        <v>33750</v>
      </c>
      <c r="E21" s="135">
        <v>610</v>
      </c>
      <c r="F21" s="135">
        <v>4704</v>
      </c>
      <c r="G21" s="135">
        <v>246</v>
      </c>
      <c r="H21" s="135">
        <v>51897</v>
      </c>
      <c r="I21" s="135">
        <v>31588</v>
      </c>
      <c r="J21" s="135">
        <v>202655</v>
      </c>
      <c r="K21" s="19" t="s">
        <v>102</v>
      </c>
      <c r="L21" s="19" t="s">
        <v>102</v>
      </c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</row>
    <row r="22" spans="1:48" s="54" customFormat="1" ht="17" x14ac:dyDescent="0.4">
      <c r="A22" s="134">
        <v>1996</v>
      </c>
      <c r="B22" s="135">
        <v>10500</v>
      </c>
      <c r="C22" s="135">
        <v>897</v>
      </c>
      <c r="D22" s="135">
        <v>37002</v>
      </c>
      <c r="E22" s="135">
        <v>802</v>
      </c>
      <c r="F22" s="135">
        <v>5176</v>
      </c>
      <c r="G22" s="135">
        <v>264</v>
      </c>
      <c r="H22" s="135">
        <v>54693</v>
      </c>
      <c r="I22" s="135">
        <v>47721</v>
      </c>
      <c r="J22" s="135">
        <v>215180</v>
      </c>
      <c r="K22" s="19" t="s">
        <v>102</v>
      </c>
      <c r="L22" s="19" t="s">
        <v>102</v>
      </c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137"/>
      <c r="AB22" s="137"/>
      <c r="AC22" s="137"/>
      <c r="AD22" s="137"/>
      <c r="AE22" s="137"/>
      <c r="AF22" s="137"/>
      <c r="AG22" s="137"/>
      <c r="AH22" s="137"/>
      <c r="AI22" s="137"/>
      <c r="AJ22" s="137"/>
      <c r="AK22" s="137"/>
      <c r="AL22" s="137"/>
      <c r="AM22" s="137"/>
      <c r="AN22" s="137"/>
      <c r="AO22" s="137"/>
      <c r="AP22" s="137"/>
      <c r="AQ22" s="137"/>
      <c r="AR22" s="137"/>
      <c r="AS22" s="137"/>
      <c r="AT22" s="137"/>
      <c r="AU22" s="29"/>
      <c r="AV22" s="29"/>
    </row>
    <row r="23" spans="1:48" s="54" customFormat="1" ht="17" x14ac:dyDescent="0.4">
      <c r="A23" s="134">
        <v>1997</v>
      </c>
      <c r="B23" s="135">
        <v>9450</v>
      </c>
      <c r="C23" s="135">
        <v>1977</v>
      </c>
      <c r="D23" s="135">
        <v>40260</v>
      </c>
      <c r="E23" s="135">
        <v>834</v>
      </c>
      <c r="F23" s="135">
        <v>4731</v>
      </c>
      <c r="G23" s="135">
        <v>148</v>
      </c>
      <c r="H23" s="135">
        <v>46410</v>
      </c>
      <c r="I23" s="135">
        <v>56388</v>
      </c>
      <c r="J23" s="135">
        <v>233614</v>
      </c>
      <c r="K23" s="19" t="s">
        <v>102</v>
      </c>
      <c r="L23" s="19" t="s">
        <v>102</v>
      </c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</row>
    <row r="24" spans="1:48" s="54" customFormat="1" ht="17" x14ac:dyDescent="0.4">
      <c r="A24" s="134">
        <v>1998</v>
      </c>
      <c r="B24" s="135">
        <v>10500</v>
      </c>
      <c r="C24" s="135">
        <v>1198</v>
      </c>
      <c r="D24" s="135">
        <v>19492</v>
      </c>
      <c r="E24" s="135">
        <v>328</v>
      </c>
      <c r="F24" s="135">
        <v>4468</v>
      </c>
      <c r="G24" s="135">
        <v>51</v>
      </c>
      <c r="H24" s="135">
        <v>38385</v>
      </c>
      <c r="I24" s="135">
        <v>48679</v>
      </c>
      <c r="J24" s="135">
        <v>155829</v>
      </c>
      <c r="K24" s="19" t="s">
        <v>102</v>
      </c>
      <c r="L24" s="19" t="s">
        <v>102</v>
      </c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</row>
    <row r="25" spans="1:48" s="54" customFormat="1" ht="17" x14ac:dyDescent="0.4">
      <c r="A25" s="134">
        <v>1999</v>
      </c>
      <c r="B25" s="135">
        <v>10500</v>
      </c>
      <c r="C25" s="135">
        <v>1608</v>
      </c>
      <c r="D25" s="135">
        <v>31290</v>
      </c>
      <c r="E25" s="135">
        <v>620</v>
      </c>
      <c r="F25" s="135">
        <v>4973</v>
      </c>
      <c r="G25" s="135">
        <v>107</v>
      </c>
      <c r="H25" s="135">
        <v>50560</v>
      </c>
      <c r="I25" s="135">
        <v>60930</v>
      </c>
      <c r="J25" s="135">
        <v>209963</v>
      </c>
      <c r="K25" s="19"/>
      <c r="L25" s="1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</row>
    <row r="26" spans="1:48" s="54" customFormat="1" ht="17" x14ac:dyDescent="0.4">
      <c r="A26" s="134">
        <v>2000</v>
      </c>
      <c r="B26" s="135">
        <v>10500</v>
      </c>
      <c r="C26" s="135">
        <v>1281</v>
      </c>
      <c r="D26" s="135">
        <v>38352</v>
      </c>
      <c r="E26" s="135">
        <v>881</v>
      </c>
      <c r="F26" s="135">
        <v>5744</v>
      </c>
      <c r="G26" s="135">
        <v>255</v>
      </c>
      <c r="H26" s="135">
        <v>57972</v>
      </c>
      <c r="I26" s="135">
        <v>61412</v>
      </c>
      <c r="J26" s="135">
        <v>234464</v>
      </c>
      <c r="K26" s="19" t="s">
        <v>102</v>
      </c>
      <c r="L26" s="19" t="s">
        <v>102</v>
      </c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</row>
    <row r="27" spans="1:48" s="54" customFormat="1" ht="17" x14ac:dyDescent="0.4">
      <c r="A27" s="138" t="s">
        <v>61</v>
      </c>
      <c r="B27" s="135">
        <v>6161</v>
      </c>
      <c r="C27" s="135">
        <v>1618</v>
      </c>
      <c r="D27" s="135">
        <v>28959</v>
      </c>
      <c r="E27" s="135">
        <v>890</v>
      </c>
      <c r="F27" s="135">
        <v>4533</v>
      </c>
      <c r="G27" s="135">
        <v>153</v>
      </c>
      <c r="H27" s="135">
        <v>26080</v>
      </c>
      <c r="I27" s="135">
        <v>36758</v>
      </c>
      <c r="J27" s="135">
        <v>162264</v>
      </c>
      <c r="K27" s="19" t="s">
        <v>102</v>
      </c>
      <c r="L27" s="19" t="s">
        <v>102</v>
      </c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</row>
    <row r="28" spans="1:48" s="54" customFormat="1" ht="17" x14ac:dyDescent="0.4">
      <c r="A28" s="138" t="s">
        <v>62</v>
      </c>
      <c r="B28" s="135">
        <v>10639</v>
      </c>
      <c r="C28" s="135">
        <v>1342</v>
      </c>
      <c r="D28" s="135">
        <v>41490</v>
      </c>
      <c r="E28" s="135">
        <v>1380</v>
      </c>
      <c r="F28" s="135">
        <v>5383</v>
      </c>
      <c r="G28" s="135">
        <v>121</v>
      </c>
      <c r="H28" s="135">
        <v>53712</v>
      </c>
      <c r="I28" s="135">
        <v>48779</v>
      </c>
      <c r="J28" s="135">
        <v>227996</v>
      </c>
      <c r="K28" s="19" t="s">
        <v>102</v>
      </c>
      <c r="L28" s="19" t="s">
        <v>102</v>
      </c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</row>
    <row r="29" spans="1:48" s="54" customFormat="1" ht="17" x14ac:dyDescent="0.4">
      <c r="A29" s="138" t="s">
        <v>63</v>
      </c>
      <c r="B29" s="135">
        <v>10500</v>
      </c>
      <c r="C29" s="135">
        <v>2115</v>
      </c>
      <c r="D29" s="135">
        <v>27984</v>
      </c>
      <c r="E29" s="135">
        <v>393</v>
      </c>
      <c r="F29" s="135">
        <v>5769</v>
      </c>
      <c r="G29" s="135">
        <v>255</v>
      </c>
      <c r="H29" s="135">
        <v>45533</v>
      </c>
      <c r="I29" s="135">
        <v>46313</v>
      </c>
      <c r="J29" s="135">
        <v>197645</v>
      </c>
      <c r="K29" s="19" t="s">
        <v>102</v>
      </c>
      <c r="L29" s="19" t="s">
        <v>102</v>
      </c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</row>
    <row r="30" spans="1:48" s="54" customFormat="1" ht="17" x14ac:dyDescent="0.4">
      <c r="A30" s="138" t="s">
        <v>64</v>
      </c>
      <c r="B30" s="135">
        <v>10500</v>
      </c>
      <c r="C30" s="135">
        <v>1780</v>
      </c>
      <c r="D30" s="135">
        <v>36977</v>
      </c>
      <c r="E30" s="135">
        <v>716</v>
      </c>
      <c r="F30" s="135">
        <v>5971</v>
      </c>
      <c r="G30" s="135">
        <v>255</v>
      </c>
      <c r="H30" s="135">
        <v>42858</v>
      </c>
      <c r="I30" s="135">
        <v>47349</v>
      </c>
      <c r="J30" s="135">
        <v>207047</v>
      </c>
      <c r="K30" s="19" t="s">
        <v>102</v>
      </c>
      <c r="L30" s="19" t="s">
        <v>102</v>
      </c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</row>
    <row r="31" spans="1:48" s="54" customFormat="1" ht="17" x14ac:dyDescent="0.4">
      <c r="A31" s="138" t="s">
        <v>65</v>
      </c>
      <c r="B31" s="135">
        <v>8400</v>
      </c>
      <c r="C31" s="135">
        <v>1832</v>
      </c>
      <c r="D31" s="135">
        <v>33867</v>
      </c>
      <c r="E31" s="135">
        <v>709</v>
      </c>
      <c r="F31" s="135">
        <v>5486</v>
      </c>
      <c r="G31" s="135">
        <v>204</v>
      </c>
      <c r="H31" s="135">
        <v>48148</v>
      </c>
      <c r="I31" s="135">
        <v>47622</v>
      </c>
      <c r="J31" s="135">
        <v>205693</v>
      </c>
      <c r="K31" s="19" t="s">
        <v>102</v>
      </c>
      <c r="L31" s="19" t="s">
        <v>102</v>
      </c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</row>
    <row r="32" spans="1:48" s="54" customFormat="1" ht="17" x14ac:dyDescent="0.4">
      <c r="A32" s="138" t="s">
        <v>66</v>
      </c>
      <c r="B32" s="135">
        <v>8400</v>
      </c>
      <c r="C32" s="135">
        <v>1788</v>
      </c>
      <c r="D32" s="135">
        <v>37829</v>
      </c>
      <c r="E32" s="135">
        <v>695</v>
      </c>
      <c r="F32" s="135">
        <v>5370</v>
      </c>
      <c r="G32" s="135">
        <v>204</v>
      </c>
      <c r="H32" s="135">
        <v>42389</v>
      </c>
      <c r="I32" s="135">
        <v>45400</v>
      </c>
      <c r="J32" s="135">
        <v>209179</v>
      </c>
      <c r="K32" s="19" t="s">
        <v>102</v>
      </c>
      <c r="L32" s="19" t="s">
        <v>102</v>
      </c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</row>
    <row r="33" spans="1:48" s="54" customFormat="1" ht="17" x14ac:dyDescent="0.4">
      <c r="A33" s="134">
        <v>2007</v>
      </c>
      <c r="B33" s="135">
        <v>9450</v>
      </c>
      <c r="C33" s="135">
        <v>795</v>
      </c>
      <c r="D33" s="135">
        <v>39186</v>
      </c>
      <c r="E33" s="135">
        <v>1014</v>
      </c>
      <c r="F33" s="135">
        <v>5680</v>
      </c>
      <c r="G33" s="135">
        <v>204</v>
      </c>
      <c r="H33" s="135">
        <v>37373</v>
      </c>
      <c r="I33" s="135">
        <v>56114</v>
      </c>
      <c r="J33" s="135">
        <v>234574</v>
      </c>
      <c r="K33" s="19" t="s">
        <v>102</v>
      </c>
      <c r="L33" s="19" t="s">
        <v>102</v>
      </c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</row>
    <row r="34" spans="1:48" s="54" customFormat="1" ht="17" x14ac:dyDescent="0.4">
      <c r="A34" s="134">
        <v>2008</v>
      </c>
      <c r="B34" s="135">
        <v>3466</v>
      </c>
      <c r="C34" s="135">
        <v>1879</v>
      </c>
      <c r="D34" s="135">
        <v>18426</v>
      </c>
      <c r="E34" s="135">
        <v>864</v>
      </c>
      <c r="F34" s="135">
        <v>3057</v>
      </c>
      <c r="G34" s="135">
        <v>46</v>
      </c>
      <c r="H34" s="135">
        <v>21791</v>
      </c>
      <c r="I34" s="135">
        <v>25036</v>
      </c>
      <c r="J34" s="135">
        <v>106257</v>
      </c>
      <c r="K34" s="19" t="s">
        <v>102</v>
      </c>
      <c r="L34" s="19" t="s">
        <v>102</v>
      </c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</row>
    <row r="35" spans="1:48" s="54" customFormat="1" ht="17" x14ac:dyDescent="0.4">
      <c r="A35" s="134">
        <v>2009</v>
      </c>
      <c r="B35" s="135">
        <v>4052</v>
      </c>
      <c r="C35" s="135">
        <v>201</v>
      </c>
      <c r="D35" s="135">
        <v>14157</v>
      </c>
      <c r="E35" s="135">
        <v>414</v>
      </c>
      <c r="F35" s="135">
        <v>1595</v>
      </c>
      <c r="G35" s="135">
        <v>57</v>
      </c>
      <c r="H35" s="135">
        <v>13869</v>
      </c>
      <c r="I35" s="135">
        <v>16192</v>
      </c>
      <c r="J35" s="135">
        <v>81413</v>
      </c>
      <c r="K35" s="19" t="s">
        <v>102</v>
      </c>
      <c r="L35" s="19" t="s">
        <v>102</v>
      </c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</row>
    <row r="36" spans="1:48" s="54" customFormat="1" ht="17" x14ac:dyDescent="0.4">
      <c r="A36" s="138" t="s">
        <v>70</v>
      </c>
      <c r="B36" s="135">
        <v>9394</v>
      </c>
      <c r="C36" s="135">
        <v>1578</v>
      </c>
      <c r="D36" s="135">
        <v>31737</v>
      </c>
      <c r="E36" s="135">
        <v>349</v>
      </c>
      <c r="F36" s="135">
        <v>7068</v>
      </c>
      <c r="G36" s="135">
        <v>20</v>
      </c>
      <c r="H36" s="135">
        <v>37178</v>
      </c>
      <c r="I36" s="135">
        <v>52528</v>
      </c>
      <c r="J36" s="135">
        <v>196390</v>
      </c>
      <c r="K36" s="19" t="s">
        <v>102</v>
      </c>
      <c r="L36" s="19" t="s">
        <v>102</v>
      </c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</row>
    <row r="37" spans="1:48" s="54" customFormat="1" ht="17" x14ac:dyDescent="0.4">
      <c r="A37" s="134">
        <v>2011</v>
      </c>
      <c r="B37" s="135">
        <v>8400</v>
      </c>
      <c r="C37" s="135">
        <v>337</v>
      </c>
      <c r="D37" s="135">
        <v>30580</v>
      </c>
      <c r="E37" s="135">
        <v>333</v>
      </c>
      <c r="F37" s="135">
        <v>3383</v>
      </c>
      <c r="G37" s="135">
        <v>0</v>
      </c>
      <c r="H37" s="135">
        <v>36959</v>
      </c>
      <c r="I37" s="135">
        <v>35850</v>
      </c>
      <c r="J37" s="135">
        <v>164414</v>
      </c>
      <c r="K37" s="19" t="s">
        <v>102</v>
      </c>
      <c r="L37" s="19" t="s">
        <v>102</v>
      </c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</row>
    <row r="38" spans="1:48" s="54" customFormat="1" ht="17" x14ac:dyDescent="0.4">
      <c r="A38" s="134">
        <v>2012</v>
      </c>
      <c r="B38" s="135">
        <v>8410</v>
      </c>
      <c r="C38" s="135">
        <v>1020</v>
      </c>
      <c r="D38" s="135">
        <v>34842</v>
      </c>
      <c r="E38" s="135">
        <v>355</v>
      </c>
      <c r="F38" s="135">
        <v>5215</v>
      </c>
      <c r="G38" s="135">
        <v>255</v>
      </c>
      <c r="H38" s="135">
        <v>47063</v>
      </c>
      <c r="I38" s="135">
        <v>40870</v>
      </c>
      <c r="J38" s="135">
        <v>204667</v>
      </c>
      <c r="K38" s="19" t="s">
        <v>102</v>
      </c>
      <c r="L38" s="19" t="s">
        <v>102</v>
      </c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</row>
    <row r="39" spans="1:48" s="54" customFormat="1" ht="17" x14ac:dyDescent="0.4">
      <c r="A39" s="134">
        <v>2013</v>
      </c>
      <c r="B39" s="135">
        <v>7539</v>
      </c>
      <c r="C39" s="135">
        <v>1256</v>
      </c>
      <c r="D39" s="135">
        <v>32495</v>
      </c>
      <c r="E39" s="135">
        <v>1416</v>
      </c>
      <c r="F39" s="135">
        <v>5402</v>
      </c>
      <c r="G39" s="135">
        <v>190</v>
      </c>
      <c r="H39" s="135">
        <v>32337</v>
      </c>
      <c r="I39" s="135">
        <v>43002</v>
      </c>
      <c r="J39" s="135">
        <v>187100</v>
      </c>
      <c r="K39" s="19" t="s">
        <v>102</v>
      </c>
      <c r="L39" s="19" t="s">
        <v>102</v>
      </c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</row>
    <row r="40" spans="1:48" s="54" customFormat="1" ht="17" x14ac:dyDescent="0.4">
      <c r="A40" s="134">
        <v>2014</v>
      </c>
      <c r="B40" s="135">
        <v>1453</v>
      </c>
      <c r="C40" s="135">
        <v>29</v>
      </c>
      <c r="D40" s="135">
        <v>8623</v>
      </c>
      <c r="E40" s="135">
        <v>29</v>
      </c>
      <c r="F40" s="136">
        <v>0</v>
      </c>
      <c r="G40" s="136">
        <v>0</v>
      </c>
      <c r="H40" s="135">
        <v>4165</v>
      </c>
      <c r="I40" s="135">
        <v>22398</v>
      </c>
      <c r="J40" s="135">
        <v>68999</v>
      </c>
      <c r="K40" s="19" t="s">
        <v>102</v>
      </c>
      <c r="L40" s="19" t="s">
        <v>102</v>
      </c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</row>
    <row r="41" spans="1:48" s="54" customFormat="1" ht="17" x14ac:dyDescent="0.4">
      <c r="A41" s="134">
        <v>2015</v>
      </c>
      <c r="B41" s="136">
        <v>0</v>
      </c>
      <c r="C41" s="136">
        <v>0</v>
      </c>
      <c r="D41" s="135">
        <v>2201</v>
      </c>
      <c r="E41" s="136">
        <v>0</v>
      </c>
      <c r="F41" s="136">
        <v>0</v>
      </c>
      <c r="G41" s="136">
        <v>0</v>
      </c>
      <c r="H41" s="135">
        <v>408</v>
      </c>
      <c r="I41" s="135">
        <v>9699</v>
      </c>
      <c r="J41" s="135">
        <v>19873</v>
      </c>
      <c r="K41" s="19" t="s">
        <v>102</v>
      </c>
      <c r="L41" s="19" t="s">
        <v>102</v>
      </c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</row>
    <row r="42" spans="1:48" s="54" customFormat="1" ht="17" x14ac:dyDescent="0.4">
      <c r="A42" s="134">
        <v>2016</v>
      </c>
      <c r="B42" s="135">
        <v>8457</v>
      </c>
      <c r="C42" s="135">
        <v>1</v>
      </c>
      <c r="D42" s="135">
        <v>30613</v>
      </c>
      <c r="E42" s="136">
        <v>0</v>
      </c>
      <c r="F42" s="135">
        <v>3999</v>
      </c>
      <c r="G42" s="136">
        <v>0</v>
      </c>
      <c r="H42" s="135">
        <v>22317</v>
      </c>
      <c r="I42" s="135">
        <v>38448</v>
      </c>
      <c r="J42" s="135">
        <v>156366</v>
      </c>
      <c r="K42" s="19" t="s">
        <v>102</v>
      </c>
      <c r="L42" s="19" t="s">
        <v>102</v>
      </c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</row>
    <row r="43" spans="1:48" s="54" customFormat="1" ht="17" x14ac:dyDescent="0.4">
      <c r="A43" s="134">
        <v>2017</v>
      </c>
      <c r="B43" s="135">
        <v>6129</v>
      </c>
      <c r="C43" s="135">
        <v>82</v>
      </c>
      <c r="D43" s="135">
        <v>26937</v>
      </c>
      <c r="E43" s="136">
        <v>0</v>
      </c>
      <c r="F43" s="135">
        <v>3628</v>
      </c>
      <c r="G43" s="136">
        <v>0</v>
      </c>
      <c r="H43" s="135">
        <v>23831</v>
      </c>
      <c r="I43" s="135">
        <v>38180</v>
      </c>
      <c r="J43" s="135">
        <v>135497</v>
      </c>
      <c r="K43" s="19" t="s">
        <v>102</v>
      </c>
      <c r="L43" s="19" t="s">
        <v>102</v>
      </c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</row>
    <row r="44" spans="1:48" s="54" customFormat="1" ht="17" x14ac:dyDescent="0.4">
      <c r="A44" s="134">
        <v>2018</v>
      </c>
      <c r="B44" s="135">
        <v>9249</v>
      </c>
      <c r="C44" s="135">
        <v>160</v>
      </c>
      <c r="D44" s="135">
        <v>33299</v>
      </c>
      <c r="E44" s="136">
        <v>0</v>
      </c>
      <c r="F44" s="135">
        <v>4391</v>
      </c>
      <c r="G44" s="136">
        <v>0</v>
      </c>
      <c r="H44" s="135">
        <v>28868</v>
      </c>
      <c r="I44" s="135">
        <v>40619</v>
      </c>
      <c r="J44" s="135">
        <v>171714</v>
      </c>
      <c r="K44" s="19" t="s">
        <v>102</v>
      </c>
      <c r="L44" s="19" t="s">
        <v>102</v>
      </c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</row>
    <row r="45" spans="1:48" s="54" customFormat="1" ht="17" x14ac:dyDescent="0.4">
      <c r="A45" s="134">
        <v>2019</v>
      </c>
      <c r="B45" s="135">
        <v>1804</v>
      </c>
      <c r="C45" s="135">
        <v>293</v>
      </c>
      <c r="D45" s="135">
        <v>17753</v>
      </c>
      <c r="E45" s="136">
        <v>0</v>
      </c>
      <c r="F45" s="135">
        <v>4092</v>
      </c>
      <c r="G45" s="136">
        <v>67</v>
      </c>
      <c r="H45" s="135">
        <v>13828</v>
      </c>
      <c r="I45" s="135">
        <v>30486</v>
      </c>
      <c r="J45" s="135">
        <v>98482</v>
      </c>
      <c r="K45" s="19" t="s">
        <v>102</v>
      </c>
      <c r="L45" s="19" t="s">
        <v>102</v>
      </c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</row>
    <row r="46" spans="1:48" s="54" customFormat="1" ht="17" x14ac:dyDescent="0.4">
      <c r="A46" s="134">
        <v>2020</v>
      </c>
      <c r="B46" s="135">
        <v>3825</v>
      </c>
      <c r="C46" s="135">
        <v>922</v>
      </c>
      <c r="D46" s="135">
        <v>28425</v>
      </c>
      <c r="E46" s="136">
        <v>0</v>
      </c>
      <c r="F46" s="135">
        <v>3539</v>
      </c>
      <c r="G46" s="136">
        <v>66</v>
      </c>
      <c r="H46" s="135">
        <v>24045</v>
      </c>
      <c r="I46" s="135">
        <v>28548</v>
      </c>
      <c r="J46" s="135">
        <v>130449</v>
      </c>
      <c r="K46" s="19" t="s">
        <v>102</v>
      </c>
      <c r="L46" s="19" t="s">
        <v>102</v>
      </c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</row>
    <row r="47" spans="1:48" s="54" customFormat="1" ht="17" x14ac:dyDescent="0.4">
      <c r="A47" s="134">
        <v>2021</v>
      </c>
      <c r="B47" s="135">
        <v>3360</v>
      </c>
      <c r="C47" s="135">
        <v>305</v>
      </c>
      <c r="D47" s="135">
        <v>524</v>
      </c>
      <c r="E47" s="136">
        <f>[1]ActualDeliveries!E$296</f>
        <v>0</v>
      </c>
      <c r="F47" s="135">
        <f>[1]ActualDeliveries!E$297</f>
        <v>427</v>
      </c>
      <c r="G47" s="136">
        <f>[1]ActualDeliveries!E$298</f>
        <v>76</v>
      </c>
      <c r="H47" s="135">
        <f>[1]ActualDeliveries!E$299</f>
        <v>9558</v>
      </c>
      <c r="I47" s="135">
        <f>[1]ActualDeliveries!E$300</f>
        <v>17705</v>
      </c>
      <c r="J47" s="135">
        <v>58609</v>
      </c>
      <c r="K47" s="19" t="s">
        <v>102</v>
      </c>
      <c r="L47" s="19" t="s">
        <v>102</v>
      </c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</row>
    <row r="48" spans="1:48" s="54" customFormat="1" ht="17" x14ac:dyDescent="0.4">
      <c r="A48" s="134">
        <v>2022</v>
      </c>
      <c r="B48" s="135">
        <v>4689.1428571428569</v>
      </c>
      <c r="C48" s="135">
        <v>251.85714285714286</v>
      </c>
      <c r="D48" s="135">
        <v>19964.571428571428</v>
      </c>
      <c r="E48" s="135">
        <v>0</v>
      </c>
      <c r="F48" s="135">
        <f t="shared" ref="F48:F56" si="0">$F$58</f>
        <v>2868</v>
      </c>
      <c r="G48" s="135">
        <f t="shared" ref="G48:G56" si="1">$G$58</f>
        <v>29.857142857142858</v>
      </c>
      <c r="H48" s="135">
        <f t="shared" ref="H48:H56" si="2">$H$58</f>
        <v>17550.714285714286</v>
      </c>
      <c r="I48" s="135">
        <f t="shared" ref="I48:I56" si="3">$I$58</f>
        <v>29097.857142857141</v>
      </c>
      <c r="J48" s="135">
        <v>110141.42857142857</v>
      </c>
      <c r="K48" s="19" t="s">
        <v>102</v>
      </c>
      <c r="L48" s="19" t="s">
        <v>102</v>
      </c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</row>
    <row r="49" spans="1:242" s="54" customFormat="1" ht="17" x14ac:dyDescent="0.4">
      <c r="A49" s="134">
        <v>2023</v>
      </c>
      <c r="B49" s="135">
        <v>4689.1428571428569</v>
      </c>
      <c r="C49" s="135">
        <v>251.85714285714286</v>
      </c>
      <c r="D49" s="135">
        <v>19964.571428571428</v>
      </c>
      <c r="E49" s="135">
        <v>0</v>
      </c>
      <c r="F49" s="135">
        <f t="shared" si="0"/>
        <v>2868</v>
      </c>
      <c r="G49" s="135">
        <f t="shared" si="1"/>
        <v>29.857142857142858</v>
      </c>
      <c r="H49" s="135">
        <f t="shared" si="2"/>
        <v>17550.714285714286</v>
      </c>
      <c r="I49" s="135">
        <f t="shared" si="3"/>
        <v>29097.857142857141</v>
      </c>
      <c r="J49" s="135">
        <v>110141.42857142857</v>
      </c>
      <c r="K49" s="19" t="s">
        <v>102</v>
      </c>
      <c r="L49" s="19" t="s">
        <v>102</v>
      </c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</row>
    <row r="50" spans="1:242" s="54" customFormat="1" ht="17" x14ac:dyDescent="0.4">
      <c r="A50" s="134">
        <v>2024</v>
      </c>
      <c r="B50" s="135">
        <v>4689.1428571428569</v>
      </c>
      <c r="C50" s="135">
        <v>251.85714285714286</v>
      </c>
      <c r="D50" s="135">
        <v>19964.571428571428</v>
      </c>
      <c r="E50" s="135">
        <v>0</v>
      </c>
      <c r="F50" s="135">
        <f t="shared" si="0"/>
        <v>2868</v>
      </c>
      <c r="G50" s="135">
        <f t="shared" si="1"/>
        <v>29.857142857142858</v>
      </c>
      <c r="H50" s="135">
        <f t="shared" si="2"/>
        <v>17550.714285714286</v>
      </c>
      <c r="I50" s="135">
        <f t="shared" si="3"/>
        <v>29097.857142857141</v>
      </c>
      <c r="J50" s="135">
        <v>110141.42857142857</v>
      </c>
      <c r="K50" s="19" t="s">
        <v>102</v>
      </c>
      <c r="L50" s="19" t="s">
        <v>102</v>
      </c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</row>
    <row r="51" spans="1:242" s="54" customFormat="1" ht="17" x14ac:dyDescent="0.4">
      <c r="A51" s="134">
        <v>2025</v>
      </c>
      <c r="B51" s="135">
        <v>4689.1428571428569</v>
      </c>
      <c r="C51" s="135">
        <v>251.85714285714286</v>
      </c>
      <c r="D51" s="135">
        <v>19964.571428571428</v>
      </c>
      <c r="E51" s="135">
        <f t="shared" ref="E51:E56" si="4">$E$58</f>
        <v>300</v>
      </c>
      <c r="F51" s="135">
        <f t="shared" si="0"/>
        <v>2868</v>
      </c>
      <c r="G51" s="135">
        <f t="shared" si="1"/>
        <v>29.857142857142858</v>
      </c>
      <c r="H51" s="135">
        <f t="shared" si="2"/>
        <v>17550.714285714286</v>
      </c>
      <c r="I51" s="135">
        <f t="shared" si="3"/>
        <v>29097.857142857141</v>
      </c>
      <c r="J51" s="135">
        <v>110441.42857142857</v>
      </c>
      <c r="K51" s="19" t="s">
        <v>102</v>
      </c>
      <c r="L51" s="19" t="s">
        <v>102</v>
      </c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</row>
    <row r="52" spans="1:242" s="54" customFormat="1" ht="17" x14ac:dyDescent="0.4">
      <c r="A52" s="134">
        <v>2026</v>
      </c>
      <c r="B52" s="135">
        <v>4689.1428571428569</v>
      </c>
      <c r="C52" s="135">
        <v>251.85714285714286</v>
      </c>
      <c r="D52" s="135">
        <v>19964.571428571428</v>
      </c>
      <c r="E52" s="135">
        <f t="shared" si="4"/>
        <v>300</v>
      </c>
      <c r="F52" s="135">
        <f t="shared" si="0"/>
        <v>2868</v>
      </c>
      <c r="G52" s="135">
        <f t="shared" si="1"/>
        <v>29.857142857142858</v>
      </c>
      <c r="H52" s="135">
        <f t="shared" si="2"/>
        <v>17550.714285714286</v>
      </c>
      <c r="I52" s="135">
        <f t="shared" si="3"/>
        <v>29097.857142857141</v>
      </c>
      <c r="J52" s="135">
        <v>110441.42857142857</v>
      </c>
      <c r="K52" s="19" t="s">
        <v>102</v>
      </c>
      <c r="L52" s="19" t="s">
        <v>102</v>
      </c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</row>
    <row r="53" spans="1:242" s="54" customFormat="1" ht="17" x14ac:dyDescent="0.4">
      <c r="A53" s="134">
        <v>2027</v>
      </c>
      <c r="B53" s="135">
        <v>4689.1428571428569</v>
      </c>
      <c r="C53" s="135">
        <v>251.85714285714286</v>
      </c>
      <c r="D53" s="135">
        <v>19964.571428571428</v>
      </c>
      <c r="E53" s="135">
        <f t="shared" si="4"/>
        <v>300</v>
      </c>
      <c r="F53" s="135">
        <f t="shared" si="0"/>
        <v>2868</v>
      </c>
      <c r="G53" s="135">
        <f t="shared" si="1"/>
        <v>29.857142857142858</v>
      </c>
      <c r="H53" s="135">
        <f t="shared" si="2"/>
        <v>17550.714285714286</v>
      </c>
      <c r="I53" s="135">
        <f t="shared" si="3"/>
        <v>29097.857142857141</v>
      </c>
      <c r="J53" s="135">
        <v>110441.42857142857</v>
      </c>
      <c r="K53" s="19" t="s">
        <v>102</v>
      </c>
      <c r="L53" s="19" t="s">
        <v>102</v>
      </c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</row>
    <row r="54" spans="1:242" s="54" customFormat="1" ht="17" x14ac:dyDescent="0.4">
      <c r="A54" s="134">
        <v>2028</v>
      </c>
      <c r="B54" s="135">
        <v>4689.1428571428569</v>
      </c>
      <c r="C54" s="135">
        <v>251.85714285714286</v>
      </c>
      <c r="D54" s="135">
        <v>19964.571428571428</v>
      </c>
      <c r="E54" s="135">
        <f t="shared" si="4"/>
        <v>300</v>
      </c>
      <c r="F54" s="135">
        <f t="shared" si="0"/>
        <v>2868</v>
      </c>
      <c r="G54" s="135">
        <f t="shared" si="1"/>
        <v>29.857142857142858</v>
      </c>
      <c r="H54" s="135">
        <f t="shared" si="2"/>
        <v>17550.714285714286</v>
      </c>
      <c r="I54" s="135">
        <f t="shared" si="3"/>
        <v>29097.857142857141</v>
      </c>
      <c r="J54" s="135">
        <v>110441.42857142857</v>
      </c>
      <c r="K54" s="19" t="s">
        <v>102</v>
      </c>
      <c r="L54" s="19" t="s">
        <v>102</v>
      </c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</row>
    <row r="55" spans="1:242" s="54" customFormat="1" ht="17" x14ac:dyDescent="0.4">
      <c r="A55" s="134">
        <v>2029</v>
      </c>
      <c r="B55" s="135">
        <v>4689.1428571428569</v>
      </c>
      <c r="C55" s="135">
        <v>251.85714285714286</v>
      </c>
      <c r="D55" s="135">
        <v>19964.571428571428</v>
      </c>
      <c r="E55" s="135">
        <f t="shared" si="4"/>
        <v>300</v>
      </c>
      <c r="F55" s="135">
        <f t="shared" si="0"/>
        <v>2868</v>
      </c>
      <c r="G55" s="135">
        <f t="shared" si="1"/>
        <v>29.857142857142858</v>
      </c>
      <c r="H55" s="135">
        <f t="shared" si="2"/>
        <v>17550.714285714286</v>
      </c>
      <c r="I55" s="135">
        <f t="shared" si="3"/>
        <v>29097.857142857141</v>
      </c>
      <c r="J55" s="135">
        <v>110441.42857142857</v>
      </c>
      <c r="K55" s="19" t="s">
        <v>102</v>
      </c>
      <c r="L55" s="19" t="s">
        <v>102</v>
      </c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</row>
    <row r="56" spans="1:242" s="54" customFormat="1" ht="17.5" thickBot="1" x14ac:dyDescent="0.45">
      <c r="A56" s="134">
        <v>2030</v>
      </c>
      <c r="B56" s="135">
        <v>4689.1428571428569</v>
      </c>
      <c r="C56" s="135">
        <v>251.85714285714286</v>
      </c>
      <c r="D56" s="135">
        <v>19964.571428571428</v>
      </c>
      <c r="E56" s="135">
        <f t="shared" si="4"/>
        <v>300</v>
      </c>
      <c r="F56" s="135">
        <f t="shared" si="0"/>
        <v>2868</v>
      </c>
      <c r="G56" s="135">
        <f t="shared" si="1"/>
        <v>29.857142857142858</v>
      </c>
      <c r="H56" s="135">
        <f t="shared" si="2"/>
        <v>17550.714285714286</v>
      </c>
      <c r="I56" s="135">
        <f t="shared" si="3"/>
        <v>29097.857142857141</v>
      </c>
      <c r="J56" s="135">
        <v>110441.42857142857</v>
      </c>
      <c r="K56" s="19" t="s">
        <v>102</v>
      </c>
      <c r="L56" s="19" t="s">
        <v>102</v>
      </c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</row>
    <row r="57" spans="1:242" s="54" customFormat="1" ht="18.5" x14ac:dyDescent="0.45">
      <c r="A57" s="134" t="s">
        <v>286</v>
      </c>
      <c r="B57" s="139">
        <f t="shared" ref="B57:I57" si="5">SUM(B7:B56)</f>
        <v>371745.28571428556</v>
      </c>
      <c r="C57" s="139">
        <f t="shared" si="5"/>
        <v>51039.214285714304</v>
      </c>
      <c r="D57" s="139">
        <f t="shared" si="5"/>
        <v>1375749.1428571423</v>
      </c>
      <c r="E57" s="139">
        <f t="shared" si="5"/>
        <v>22995</v>
      </c>
      <c r="F57" s="139">
        <f t="shared" si="5"/>
        <v>209698</v>
      </c>
      <c r="G57" s="139">
        <f t="shared" si="5"/>
        <v>6991.7142857142881</v>
      </c>
      <c r="H57" s="139">
        <f t="shared" si="5"/>
        <v>1764493.4285714289</v>
      </c>
      <c r="I57" s="139">
        <f t="shared" si="5"/>
        <v>1760716.7142857134</v>
      </c>
      <c r="J57" s="139">
        <v>8046483.8571428536</v>
      </c>
      <c r="K57" s="114"/>
      <c r="L57" s="114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0"/>
      <c r="AN57" s="140"/>
      <c r="AO57" s="140"/>
      <c r="AP57" s="140"/>
      <c r="AQ57" s="140"/>
      <c r="AR57" s="140"/>
      <c r="AS57" s="140"/>
      <c r="AT57" s="140"/>
      <c r="AU57" s="140"/>
      <c r="AV57" s="140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59"/>
      <c r="DM57" s="59"/>
      <c r="DN57" s="59"/>
      <c r="DO57" s="59"/>
      <c r="DP57" s="59"/>
      <c r="DQ57" s="59"/>
      <c r="DR57" s="59"/>
      <c r="DS57" s="59"/>
      <c r="DT57" s="59"/>
      <c r="DU57" s="59"/>
      <c r="DV57" s="59"/>
      <c r="DW57" s="59"/>
      <c r="DX57" s="59"/>
      <c r="DY57" s="59"/>
      <c r="DZ57" s="59"/>
      <c r="EA57" s="59"/>
      <c r="EB57" s="59"/>
      <c r="EC57" s="59"/>
      <c r="ED57" s="59"/>
      <c r="EE57" s="59"/>
      <c r="EF57" s="59"/>
      <c r="EG57" s="59"/>
      <c r="EH57" s="59"/>
      <c r="EI57" s="59"/>
      <c r="EJ57" s="59"/>
      <c r="EK57" s="59"/>
      <c r="EL57" s="59"/>
      <c r="EM57" s="59"/>
      <c r="EN57" s="59"/>
      <c r="EO57" s="59"/>
      <c r="EP57" s="59"/>
      <c r="EQ57" s="59"/>
      <c r="ER57" s="59"/>
      <c r="ES57" s="59"/>
      <c r="ET57" s="59"/>
      <c r="EU57" s="59"/>
      <c r="EV57" s="59"/>
      <c r="EW57" s="59"/>
      <c r="EX57" s="59"/>
      <c r="EY57" s="59"/>
      <c r="EZ57" s="59"/>
      <c r="FA57" s="59"/>
      <c r="FB57" s="59"/>
      <c r="FC57" s="59"/>
      <c r="FD57" s="59"/>
      <c r="FE57" s="59"/>
      <c r="FF57" s="59"/>
      <c r="FG57" s="59"/>
      <c r="FH57" s="59"/>
      <c r="FI57" s="59"/>
      <c r="FJ57" s="59"/>
      <c r="FK57" s="59"/>
      <c r="FL57" s="59"/>
      <c r="FM57" s="59"/>
      <c r="FN57" s="59"/>
      <c r="FO57" s="59"/>
      <c r="FP57" s="59"/>
      <c r="FQ57" s="59"/>
      <c r="FR57" s="59"/>
      <c r="FS57" s="59"/>
      <c r="FT57" s="59"/>
      <c r="FU57" s="59"/>
      <c r="FV57" s="59"/>
      <c r="FW57" s="59"/>
      <c r="FX57" s="59"/>
      <c r="FY57" s="59"/>
      <c r="FZ57" s="59"/>
      <c r="GA57" s="59"/>
      <c r="GB57" s="59"/>
      <c r="GC57" s="59"/>
      <c r="GD57" s="59"/>
      <c r="GE57" s="59"/>
      <c r="GF57" s="59"/>
      <c r="GG57" s="59"/>
      <c r="GH57" s="59"/>
      <c r="GI57" s="59"/>
      <c r="GJ57" s="59"/>
      <c r="GK57" s="59"/>
      <c r="GL57" s="59"/>
      <c r="GM57" s="59"/>
      <c r="GN57" s="59"/>
      <c r="GO57" s="59"/>
      <c r="GP57" s="59"/>
      <c r="GQ57" s="59"/>
      <c r="GR57" s="59"/>
      <c r="GS57" s="59"/>
      <c r="GT57" s="59"/>
      <c r="GU57" s="59"/>
      <c r="GV57" s="59"/>
      <c r="GW57" s="59"/>
      <c r="GX57" s="59"/>
      <c r="GY57" s="59"/>
      <c r="GZ57" s="59"/>
      <c r="HA57" s="59"/>
      <c r="HB57" s="59"/>
      <c r="HC57" s="59"/>
      <c r="HD57" s="59"/>
      <c r="HE57" s="59"/>
      <c r="HF57" s="59"/>
      <c r="HG57" s="59"/>
      <c r="HH57" s="59"/>
      <c r="HI57" s="59"/>
      <c r="HJ57" s="59"/>
      <c r="HK57" s="59"/>
      <c r="HL57" s="59"/>
      <c r="HM57" s="59"/>
      <c r="HN57" s="59"/>
      <c r="HO57" s="59"/>
      <c r="HP57" s="59"/>
      <c r="HQ57" s="59"/>
      <c r="HR57" s="59"/>
      <c r="HS57" s="59"/>
      <c r="HT57" s="59"/>
      <c r="HU57" s="59"/>
      <c r="HV57" s="59"/>
      <c r="HW57" s="59"/>
      <c r="HX57" s="59"/>
      <c r="HY57" s="59"/>
      <c r="HZ57" s="59"/>
      <c r="IA57" s="59"/>
      <c r="IB57" s="59"/>
      <c r="IC57" s="59"/>
      <c r="ID57" s="59"/>
      <c r="IE57" s="59"/>
      <c r="IF57" s="59"/>
      <c r="IG57" s="59"/>
      <c r="IH57" s="59"/>
    </row>
    <row r="58" spans="1:242" s="54" customFormat="1" ht="18.5" x14ac:dyDescent="0.45">
      <c r="A58" s="18" t="str">
        <f>Page_18!A62</f>
        <v>7 - Year Hist Avg (A-12)</v>
      </c>
      <c r="B58" s="19">
        <f>AVERAGE(B41:B47)</f>
        <v>4689.1428571428569</v>
      </c>
      <c r="C58" s="19">
        <f>AVERAGE(C41:C47)</f>
        <v>251.85714285714286</v>
      </c>
      <c r="D58" s="19">
        <f>AVERAGE(D41:D47)</f>
        <v>19964.571428571428</v>
      </c>
      <c r="E58" s="19">
        <f>2100/7</f>
        <v>300</v>
      </c>
      <c r="F58" s="19">
        <f>AVERAGE(F41:F47)</f>
        <v>2868</v>
      </c>
      <c r="G58" s="19">
        <f>AVERAGE(G41:G47)</f>
        <v>29.857142857142858</v>
      </c>
      <c r="H58" s="19">
        <f>AVERAGE(H41:H47)</f>
        <v>17550.714285714286</v>
      </c>
      <c r="I58" s="19">
        <f>AVERAGE(I41:I47)</f>
        <v>29097.857142857141</v>
      </c>
      <c r="J58" s="135">
        <v>110441.42857142857</v>
      </c>
      <c r="K58" s="114"/>
      <c r="L58" s="114"/>
      <c r="M58" s="140"/>
      <c r="N58" s="140"/>
      <c r="O58" s="140"/>
      <c r="P58" s="140"/>
      <c r="Q58" s="140"/>
      <c r="R58" s="140"/>
      <c r="S58" s="140"/>
      <c r="T58" s="140"/>
      <c r="U58" s="140"/>
      <c r="V58" s="140"/>
      <c r="W58" s="140"/>
      <c r="X58" s="140"/>
      <c r="Y58" s="140"/>
      <c r="Z58" s="140"/>
      <c r="AA58" s="140"/>
      <c r="AB58" s="140"/>
      <c r="AC58" s="140"/>
      <c r="AD58" s="140"/>
      <c r="AE58" s="140"/>
      <c r="AF58" s="140"/>
      <c r="AG58" s="140"/>
      <c r="AH58" s="140"/>
      <c r="AI58" s="140"/>
      <c r="AJ58" s="140"/>
      <c r="AK58" s="140"/>
      <c r="AL58" s="140"/>
      <c r="AM58" s="140"/>
      <c r="AN58" s="140"/>
      <c r="AO58" s="140"/>
      <c r="AP58" s="140"/>
      <c r="AQ58" s="140"/>
      <c r="AR58" s="140"/>
      <c r="AS58" s="140"/>
      <c r="AT58" s="140"/>
      <c r="AU58" s="140"/>
      <c r="AV58" s="140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59"/>
      <c r="BZ58" s="59"/>
      <c r="CA58" s="59"/>
      <c r="CB58" s="59"/>
      <c r="CC58" s="59"/>
      <c r="CD58" s="59"/>
      <c r="CE58" s="59"/>
      <c r="CF58" s="59"/>
      <c r="CG58" s="59"/>
      <c r="CH58" s="59"/>
      <c r="CI58" s="59"/>
      <c r="CJ58" s="59"/>
      <c r="CK58" s="59"/>
      <c r="CL58" s="59"/>
      <c r="CM58" s="59"/>
      <c r="CN58" s="59"/>
      <c r="CO58" s="59"/>
      <c r="CP58" s="59"/>
      <c r="CQ58" s="59"/>
      <c r="CR58" s="59"/>
      <c r="CS58" s="59"/>
      <c r="CT58" s="59"/>
      <c r="CU58" s="59"/>
      <c r="CV58" s="59"/>
      <c r="CW58" s="59"/>
      <c r="CX58" s="59"/>
      <c r="CY58" s="59"/>
      <c r="CZ58" s="59"/>
      <c r="DA58" s="59"/>
      <c r="DB58" s="59"/>
      <c r="DC58" s="59"/>
      <c r="DD58" s="59"/>
      <c r="DE58" s="59"/>
      <c r="DF58" s="59"/>
      <c r="DG58" s="59"/>
      <c r="DH58" s="59"/>
      <c r="DI58" s="59"/>
      <c r="DJ58" s="59"/>
      <c r="DK58" s="59"/>
      <c r="DL58" s="59"/>
      <c r="DM58" s="59"/>
      <c r="DN58" s="59"/>
      <c r="DO58" s="59"/>
      <c r="DP58" s="59"/>
      <c r="DQ58" s="59"/>
      <c r="DR58" s="59"/>
      <c r="DS58" s="59"/>
      <c r="DT58" s="59"/>
      <c r="DU58" s="59"/>
      <c r="DV58" s="59"/>
      <c r="DW58" s="59"/>
      <c r="DX58" s="59"/>
      <c r="DY58" s="59"/>
      <c r="DZ58" s="59"/>
      <c r="EA58" s="59"/>
      <c r="EB58" s="59"/>
      <c r="EC58" s="59"/>
      <c r="ED58" s="59"/>
      <c r="EE58" s="59"/>
      <c r="EF58" s="59"/>
      <c r="EG58" s="59"/>
      <c r="EH58" s="59"/>
      <c r="EI58" s="59"/>
      <c r="EJ58" s="59"/>
      <c r="EK58" s="59"/>
      <c r="EL58" s="59"/>
      <c r="EM58" s="59"/>
      <c r="EN58" s="59"/>
      <c r="EO58" s="59"/>
      <c r="EP58" s="59"/>
      <c r="EQ58" s="59"/>
      <c r="ER58" s="59"/>
      <c r="ES58" s="59"/>
      <c r="ET58" s="59"/>
      <c r="EU58" s="59"/>
      <c r="EV58" s="59"/>
      <c r="EW58" s="59"/>
      <c r="EX58" s="59"/>
      <c r="EY58" s="59"/>
      <c r="EZ58" s="59"/>
      <c r="FA58" s="59"/>
      <c r="FB58" s="59"/>
      <c r="FC58" s="59"/>
      <c r="FD58" s="59"/>
      <c r="FE58" s="59"/>
      <c r="FF58" s="59"/>
      <c r="FG58" s="59"/>
      <c r="FH58" s="59"/>
      <c r="FI58" s="59"/>
      <c r="FJ58" s="59"/>
      <c r="FK58" s="59"/>
      <c r="FL58" s="59"/>
      <c r="FM58" s="59"/>
      <c r="FN58" s="59"/>
      <c r="FO58" s="59"/>
      <c r="FP58" s="59"/>
      <c r="FQ58" s="59"/>
      <c r="FR58" s="59"/>
      <c r="FS58" s="59"/>
      <c r="FT58" s="59"/>
      <c r="FU58" s="59"/>
      <c r="FV58" s="59"/>
      <c r="FW58" s="59"/>
      <c r="FX58" s="59"/>
      <c r="FY58" s="59"/>
      <c r="FZ58" s="59"/>
      <c r="GA58" s="59"/>
      <c r="GB58" s="59"/>
      <c r="GC58" s="59"/>
      <c r="GD58" s="59"/>
      <c r="GE58" s="59"/>
      <c r="GF58" s="59"/>
      <c r="GG58" s="59"/>
      <c r="GH58" s="59"/>
      <c r="GI58" s="59"/>
      <c r="GJ58" s="59"/>
      <c r="GK58" s="59"/>
      <c r="GL58" s="59"/>
      <c r="GM58" s="59"/>
      <c r="GN58" s="59"/>
      <c r="GO58" s="59"/>
      <c r="GP58" s="59"/>
      <c r="GQ58" s="59"/>
      <c r="GR58" s="59"/>
      <c r="GS58" s="59"/>
      <c r="GT58" s="59"/>
      <c r="GU58" s="59"/>
      <c r="GV58" s="59"/>
      <c r="GW58" s="59"/>
      <c r="GX58" s="59"/>
      <c r="GY58" s="59"/>
      <c r="GZ58" s="59"/>
      <c r="HA58" s="59"/>
      <c r="HB58" s="59"/>
      <c r="HC58" s="59"/>
      <c r="HD58" s="59"/>
      <c r="HE58" s="59"/>
      <c r="HF58" s="59"/>
      <c r="HG58" s="59"/>
      <c r="HH58" s="59"/>
      <c r="HI58" s="59"/>
      <c r="HJ58" s="59"/>
      <c r="HK58" s="59"/>
      <c r="HL58" s="59"/>
      <c r="HM58" s="59"/>
      <c r="HN58" s="59"/>
      <c r="HO58" s="59"/>
      <c r="HP58" s="59"/>
      <c r="HQ58" s="59"/>
      <c r="HR58" s="59"/>
      <c r="HS58" s="59"/>
      <c r="HT58" s="59"/>
      <c r="HU58" s="59"/>
      <c r="HV58" s="59"/>
      <c r="HW58" s="59"/>
      <c r="HX58" s="59"/>
      <c r="HY58" s="59"/>
      <c r="HZ58" s="59"/>
      <c r="IA58" s="59"/>
      <c r="IB58" s="59"/>
      <c r="IC58" s="59"/>
      <c r="ID58" s="59"/>
      <c r="IE58" s="59"/>
      <c r="IF58" s="59"/>
      <c r="IG58" s="59"/>
      <c r="IH58" s="59"/>
    </row>
    <row r="59" spans="1:242" s="54" customFormat="1" x14ac:dyDescent="0.35">
      <c r="A59" s="65" t="str">
        <f>Page_18!A63</f>
        <v>Projected Del. (A-2ba)</v>
      </c>
      <c r="B59" s="19">
        <f t="shared" ref="B59:I59" si="6">SUM(B49:B56)</f>
        <v>37513.142857142848</v>
      </c>
      <c r="C59" s="19">
        <f t="shared" si="6"/>
        <v>2014.8571428571429</v>
      </c>
      <c r="D59" s="19">
        <f t="shared" si="6"/>
        <v>159716.57142857139</v>
      </c>
      <c r="E59" s="19">
        <f t="shared" si="6"/>
        <v>1800</v>
      </c>
      <c r="F59" s="19">
        <f t="shared" si="6"/>
        <v>22944</v>
      </c>
      <c r="G59" s="19">
        <f t="shared" si="6"/>
        <v>238.85714285714286</v>
      </c>
      <c r="H59" s="19">
        <f t="shared" si="6"/>
        <v>140405.71428571429</v>
      </c>
      <c r="I59" s="19">
        <f t="shared" si="6"/>
        <v>232782.8571428571</v>
      </c>
      <c r="J59" s="19">
        <v>882931.42857142852</v>
      </c>
      <c r="K59" s="113" t="s">
        <v>102</v>
      </c>
      <c r="L59" s="113" t="s">
        <v>102</v>
      </c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</row>
    <row r="60" spans="1:242" x14ac:dyDescent="0.35">
      <c r="A60" s="141"/>
      <c r="B60" s="56" t="s">
        <v>102</v>
      </c>
      <c r="C60" s="56"/>
      <c r="D60" s="56"/>
      <c r="E60" s="56"/>
      <c r="F60" s="56" t="s">
        <v>102</v>
      </c>
      <c r="G60" s="56" t="s">
        <v>102</v>
      </c>
      <c r="H60" s="56" t="s">
        <v>102</v>
      </c>
      <c r="I60" s="56" t="s">
        <v>102</v>
      </c>
      <c r="J60" s="56" t="s">
        <v>102</v>
      </c>
      <c r="K60" s="56" t="s">
        <v>102</v>
      </c>
      <c r="L60" s="56" t="s">
        <v>102</v>
      </c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</row>
    <row r="61" spans="1:242" x14ac:dyDescent="0.35">
      <c r="A61" s="141"/>
      <c r="B61" s="56" t="s">
        <v>102</v>
      </c>
      <c r="C61" s="56"/>
      <c r="D61" s="56"/>
      <c r="E61" s="56"/>
      <c r="F61" s="56" t="s">
        <v>102</v>
      </c>
      <c r="G61" s="56" t="s">
        <v>102</v>
      </c>
      <c r="H61" s="56" t="s">
        <v>102</v>
      </c>
      <c r="I61" s="56" t="s">
        <v>102</v>
      </c>
      <c r="J61" s="56" t="s">
        <v>102</v>
      </c>
      <c r="K61" s="56" t="s">
        <v>102</v>
      </c>
      <c r="L61" s="56" t="s">
        <v>102</v>
      </c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</row>
    <row r="62" spans="1:242" x14ac:dyDescent="0.35">
      <c r="A62" s="141"/>
      <c r="B62" s="56" t="s">
        <v>102</v>
      </c>
      <c r="C62" s="56"/>
      <c r="D62" s="56"/>
      <c r="E62" s="56"/>
      <c r="F62" s="56" t="s">
        <v>102</v>
      </c>
      <c r="G62" s="56" t="s">
        <v>102</v>
      </c>
      <c r="H62" s="56" t="s">
        <v>102</v>
      </c>
      <c r="I62" s="56" t="s">
        <v>102</v>
      </c>
      <c r="J62" s="56" t="s">
        <v>102</v>
      </c>
      <c r="K62" s="56" t="s">
        <v>102</v>
      </c>
      <c r="L62" s="56" t="s">
        <v>102</v>
      </c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</row>
    <row r="63" spans="1:242" x14ac:dyDescent="0.35">
      <c r="A63" s="141"/>
      <c r="B63" s="56" t="s">
        <v>102</v>
      </c>
      <c r="C63" s="56"/>
      <c r="D63" s="56"/>
      <c r="E63" s="56"/>
      <c r="F63" s="56" t="s">
        <v>102</v>
      </c>
      <c r="G63" s="56" t="s">
        <v>102</v>
      </c>
      <c r="H63" s="56" t="s">
        <v>102</v>
      </c>
      <c r="I63" s="56" t="s">
        <v>102</v>
      </c>
      <c r="J63" s="56" t="s">
        <v>102</v>
      </c>
      <c r="K63" s="56" t="s">
        <v>102</v>
      </c>
      <c r="L63" s="56" t="s">
        <v>102</v>
      </c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</row>
    <row r="64" spans="1:242" x14ac:dyDescent="0.35">
      <c r="A64" s="141"/>
      <c r="B64" s="56" t="s">
        <v>102</v>
      </c>
      <c r="C64" s="56"/>
      <c r="D64" s="56"/>
      <c r="E64" s="56"/>
      <c r="F64" s="56" t="s">
        <v>102</v>
      </c>
      <c r="G64" s="56" t="s">
        <v>102</v>
      </c>
      <c r="H64" s="56" t="s">
        <v>102</v>
      </c>
      <c r="I64" s="56" t="s">
        <v>102</v>
      </c>
      <c r="J64" s="56" t="s">
        <v>102</v>
      </c>
      <c r="K64" s="56" t="s">
        <v>102</v>
      </c>
      <c r="L64" s="56" t="s">
        <v>102</v>
      </c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</row>
    <row r="65" spans="1:48" x14ac:dyDescent="0.35">
      <c r="A65" s="141"/>
      <c r="B65" s="56" t="s">
        <v>102</v>
      </c>
      <c r="C65" s="56"/>
      <c r="D65" s="56"/>
      <c r="E65" s="56"/>
      <c r="F65" s="56" t="s">
        <v>102</v>
      </c>
      <c r="G65" s="56" t="s">
        <v>102</v>
      </c>
      <c r="H65" s="56" t="s">
        <v>102</v>
      </c>
      <c r="I65" s="56" t="s">
        <v>102</v>
      </c>
      <c r="J65" s="56" t="s">
        <v>102</v>
      </c>
      <c r="K65" s="56" t="s">
        <v>102</v>
      </c>
      <c r="L65" s="56" t="s">
        <v>102</v>
      </c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</row>
    <row r="66" spans="1:48" x14ac:dyDescent="0.35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</row>
    <row r="67" spans="1:48" x14ac:dyDescent="0.35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</row>
    <row r="68" spans="1:48" x14ac:dyDescent="0.35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</row>
    <row r="69" spans="1:48" x14ac:dyDescent="0.35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</row>
    <row r="70" spans="1:48" x14ac:dyDescent="0.35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</row>
    <row r="71" spans="1:48" x14ac:dyDescent="0.35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</row>
    <row r="72" spans="1:48" x14ac:dyDescent="0.35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</row>
    <row r="73" spans="1:48" x14ac:dyDescent="0.35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</row>
    <row r="74" spans="1:48" x14ac:dyDescent="0.35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</row>
    <row r="75" spans="1:48" x14ac:dyDescent="0.3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</row>
    <row r="76" spans="1:48" x14ac:dyDescent="0.35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</row>
    <row r="77" spans="1:48" x14ac:dyDescent="0.35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</row>
    <row r="78" spans="1:48" x14ac:dyDescent="0.35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</row>
    <row r="79" spans="1:48" x14ac:dyDescent="0.35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</row>
    <row r="80" spans="1:48" x14ac:dyDescent="0.35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</row>
    <row r="81" spans="2:48" x14ac:dyDescent="0.35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</row>
    <row r="82" spans="2:48" x14ac:dyDescent="0.35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</row>
    <row r="83" spans="2:48" x14ac:dyDescent="0.35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</row>
    <row r="84" spans="2:48" x14ac:dyDescent="0.35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</row>
    <row r="85" spans="2:48" x14ac:dyDescent="0.3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</row>
    <row r="86" spans="2:48" x14ac:dyDescent="0.35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</row>
    <row r="87" spans="2:48" x14ac:dyDescent="0.35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</row>
    <row r="88" spans="2:48" x14ac:dyDescent="0.35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</row>
    <row r="89" spans="2:48" x14ac:dyDescent="0.35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</row>
    <row r="90" spans="2:48" x14ac:dyDescent="0.35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</row>
    <row r="91" spans="2:48" x14ac:dyDescent="0.35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</row>
    <row r="92" spans="2:48" x14ac:dyDescent="0.35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</row>
    <row r="93" spans="2:48" x14ac:dyDescent="0.35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</row>
    <row r="94" spans="2:48" x14ac:dyDescent="0.35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</row>
    <row r="95" spans="2:48" x14ac:dyDescent="0.3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</row>
    <row r="96" spans="2:48" x14ac:dyDescent="0.35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</row>
    <row r="97" spans="2:48" x14ac:dyDescent="0.35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</row>
    <row r="98" spans="2:48" x14ac:dyDescent="0.35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</row>
    <row r="99" spans="2:48" x14ac:dyDescent="0.35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</row>
    <row r="100" spans="2:48" x14ac:dyDescent="0.35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</row>
    <row r="101" spans="2:48" x14ac:dyDescent="0.35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</row>
    <row r="102" spans="2:48" x14ac:dyDescent="0.35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</row>
    <row r="103" spans="2:48" x14ac:dyDescent="0.35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</row>
    <row r="104" spans="2:48" x14ac:dyDescent="0.3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</row>
    <row r="105" spans="2:48" x14ac:dyDescent="0.3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</row>
    <row r="106" spans="2:48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</row>
    <row r="107" spans="2:48" x14ac:dyDescent="0.35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</row>
    <row r="108" spans="2:48" x14ac:dyDescent="0.35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</row>
    <row r="109" spans="2:48" x14ac:dyDescent="0.35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</row>
    <row r="110" spans="2:48" x14ac:dyDescent="0.35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</row>
    <row r="111" spans="2:48" x14ac:dyDescent="0.35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</row>
    <row r="112" spans="2:48" x14ac:dyDescent="0.35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</row>
    <row r="113" spans="2:48" x14ac:dyDescent="0.35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</row>
    <row r="114" spans="2:48" x14ac:dyDescent="0.35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</row>
    <row r="115" spans="2:48" x14ac:dyDescent="0.3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</row>
    <row r="116" spans="2:48" x14ac:dyDescent="0.35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</row>
    <row r="117" spans="2:48" x14ac:dyDescent="0.35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</row>
    <row r="118" spans="2:48" x14ac:dyDescent="0.35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</row>
    <row r="119" spans="2:48" x14ac:dyDescent="0.35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</row>
    <row r="120" spans="2:48" x14ac:dyDescent="0.35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</row>
    <row r="121" spans="2:48" x14ac:dyDescent="0.35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</row>
    <row r="122" spans="2:48" x14ac:dyDescent="0.35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</row>
    <row r="123" spans="2:48" x14ac:dyDescent="0.35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</row>
    <row r="124" spans="2:48" x14ac:dyDescent="0.35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</row>
    <row r="125" spans="2:48" x14ac:dyDescent="0.3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</row>
    <row r="126" spans="2:48" x14ac:dyDescent="0.35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</row>
    <row r="127" spans="2:48" x14ac:dyDescent="0.35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</row>
    <row r="128" spans="2:48" x14ac:dyDescent="0.35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</row>
    <row r="129" spans="2:48" x14ac:dyDescent="0.35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</row>
    <row r="130" spans="2:48" x14ac:dyDescent="0.35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</row>
    <row r="131" spans="2:48" x14ac:dyDescent="0.3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</row>
    <row r="132" spans="2:48" x14ac:dyDescent="0.35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</row>
    <row r="133" spans="2:48" x14ac:dyDescent="0.35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</row>
    <row r="134" spans="2:48" x14ac:dyDescent="0.35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</row>
    <row r="135" spans="2:48" x14ac:dyDescent="0.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</row>
    <row r="136" spans="2:48" x14ac:dyDescent="0.35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</row>
    <row r="137" spans="2:48" x14ac:dyDescent="0.35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</row>
    <row r="138" spans="2:48" x14ac:dyDescent="0.35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</row>
    <row r="139" spans="2:48" x14ac:dyDescent="0.35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</row>
    <row r="140" spans="2:48" x14ac:dyDescent="0.35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</row>
    <row r="141" spans="2:48" x14ac:dyDescent="0.35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</row>
    <row r="142" spans="2:48" x14ac:dyDescent="0.35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</row>
    <row r="143" spans="2:48" x14ac:dyDescent="0.35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</row>
    <row r="144" spans="2:48" x14ac:dyDescent="0.35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</row>
    <row r="145" spans="2:48" x14ac:dyDescent="0.3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</row>
    <row r="146" spans="2:48" x14ac:dyDescent="0.35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</row>
    <row r="147" spans="2:48" x14ac:dyDescent="0.35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</row>
    <row r="148" spans="2:48" x14ac:dyDescent="0.35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</row>
    <row r="149" spans="2:48" x14ac:dyDescent="0.35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</row>
    <row r="150" spans="2:48" x14ac:dyDescent="0.35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</row>
    <row r="151" spans="2:48" x14ac:dyDescent="0.35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</row>
    <row r="152" spans="2:48" x14ac:dyDescent="0.35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</row>
  </sheetData>
  <printOptions horizontalCentered="1"/>
  <pageMargins left="0.25" right="0.25" top="0.5" bottom="0.5" header="0.3" footer="0.3"/>
  <pageSetup scale="47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Button 1">
              <controlPr defaultSize="0" print="0" autoFill="0" autoPict="0" macro="[0]!pdfPage23">
                <anchor moveWithCells="1" sizeWithCells="1">
                  <from>
                    <xdr:col>0</xdr:col>
                    <xdr:colOff>31750</xdr:colOff>
                    <xdr:row>0</xdr:row>
                    <xdr:rowOff>12700</xdr:rowOff>
                  </from>
                  <to>
                    <xdr:col>0</xdr:col>
                    <xdr:colOff>50800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68325-4FA8-408A-B1F8-C1892937A162}">
  <sheetPr transitionEvaluation="1" transitionEntry="1" codeName="Sheet3">
    <pageSetUpPr fitToPage="1"/>
  </sheetPr>
  <dimension ref="A1:AG194"/>
  <sheetViews>
    <sheetView defaultGridColor="0" topLeftCell="A13" colorId="22" zoomScale="70" zoomScaleNormal="70" zoomScaleSheetLayoutView="125" workbookViewId="0">
      <selection activeCell="F53" sqref="F53"/>
    </sheetView>
  </sheetViews>
  <sheetFormatPr defaultColWidth="9.58203125" defaultRowHeight="15.5" x14ac:dyDescent="0.35"/>
  <cols>
    <col min="1" max="1" width="40.58203125" style="9" customWidth="1"/>
    <col min="2" max="2" width="18.75" customWidth="1"/>
    <col min="3" max="3" width="20.33203125" customWidth="1"/>
    <col min="4" max="4" width="18.25" customWidth="1"/>
    <col min="5" max="5" width="21.5" bestFit="1" customWidth="1"/>
    <col min="6" max="6" width="27.83203125" customWidth="1"/>
    <col min="7" max="7" width="31" customWidth="1"/>
    <col min="13" max="13" width="0" hidden="1" customWidth="1"/>
    <col min="14" max="14" width="18.58203125" hidden="1" customWidth="1"/>
    <col min="15" max="15" width="0" hidden="1" customWidth="1"/>
  </cols>
  <sheetData>
    <row r="1" spans="1:33" ht="18.5" x14ac:dyDescent="0.45">
      <c r="A1" s="10" t="s">
        <v>0</v>
      </c>
    </row>
    <row r="2" spans="1:33" ht="18.5" x14ac:dyDescent="0.45">
      <c r="A2" s="11" t="s">
        <v>1</v>
      </c>
    </row>
    <row r="3" spans="1:33" s="4" customFormat="1" ht="18.5" x14ac:dyDescent="0.4">
      <c r="A3" s="12" t="s">
        <v>2</v>
      </c>
      <c r="C3" s="13"/>
      <c r="D3" s="13"/>
      <c r="E3" s="13"/>
      <c r="F3" s="13"/>
      <c r="G3" s="13"/>
    </row>
    <row r="4" spans="1:33" s="4" customFormat="1" ht="91.9" customHeight="1" x14ac:dyDescent="0.45">
      <c r="A4" s="12" t="s">
        <v>3</v>
      </c>
      <c r="C4" s="12"/>
      <c r="D4" s="13"/>
      <c r="E4" s="13"/>
      <c r="F4" s="13"/>
      <c r="G4" s="14"/>
    </row>
    <row r="5" spans="1:33" s="4" customFormat="1" ht="75.650000000000006" customHeight="1" x14ac:dyDescent="0.45">
      <c r="A5" s="12" t="s">
        <v>4</v>
      </c>
      <c r="C5" s="14"/>
      <c r="D5" s="14"/>
      <c r="E5" s="14"/>
      <c r="F5" s="14"/>
      <c r="G5" s="14"/>
      <c r="M5" s="4" t="s">
        <v>33</v>
      </c>
    </row>
    <row r="6" spans="1:33" s="16" customFormat="1" ht="51.75" customHeight="1" x14ac:dyDescent="0.35">
      <c r="A6" s="15" t="s">
        <v>34</v>
      </c>
      <c r="B6" s="336" t="s">
        <v>35</v>
      </c>
      <c r="C6" s="337" t="s">
        <v>36</v>
      </c>
      <c r="D6" s="338" t="s">
        <v>37</v>
      </c>
      <c r="E6" s="339" t="s">
        <v>38</v>
      </c>
      <c r="F6" s="339" t="s">
        <v>39</v>
      </c>
      <c r="G6" s="339" t="s">
        <v>40</v>
      </c>
      <c r="M6" s="17"/>
      <c r="N6" s="17" t="s">
        <v>41</v>
      </c>
    </row>
    <row r="7" spans="1:33" ht="15" customHeight="1" x14ac:dyDescent="0.45">
      <c r="A7" s="18" t="s">
        <v>42</v>
      </c>
      <c r="B7" s="248">
        <v>0</v>
      </c>
      <c r="C7" s="242">
        <v>129</v>
      </c>
      <c r="D7" s="242">
        <v>129</v>
      </c>
      <c r="E7" s="242">
        <v>24000</v>
      </c>
      <c r="F7" s="242">
        <v>4240</v>
      </c>
      <c r="G7" s="249">
        <v>0</v>
      </c>
      <c r="H7" s="20"/>
      <c r="I7" s="20"/>
      <c r="J7" s="21"/>
      <c r="K7" s="21"/>
      <c r="L7" s="21"/>
      <c r="M7" s="21"/>
      <c r="N7" s="22">
        <v>1455</v>
      </c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</row>
    <row r="8" spans="1:33" ht="14.15" customHeight="1" x14ac:dyDescent="0.45">
      <c r="A8" s="18" t="s">
        <v>43</v>
      </c>
      <c r="B8" s="248">
        <v>0</v>
      </c>
      <c r="C8" s="248">
        <v>0</v>
      </c>
      <c r="D8" s="248">
        <v>0</v>
      </c>
      <c r="E8" s="242">
        <v>24000</v>
      </c>
      <c r="F8" s="242">
        <v>4826</v>
      </c>
      <c r="G8" s="248">
        <v>0</v>
      </c>
      <c r="H8" s="20"/>
      <c r="I8" s="20"/>
      <c r="J8" s="21"/>
      <c r="K8" s="21"/>
      <c r="L8" s="21"/>
      <c r="M8" s="21"/>
      <c r="N8" s="22">
        <v>1144</v>
      </c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</row>
    <row r="9" spans="1:33" ht="14.15" customHeight="1" x14ac:dyDescent="0.45">
      <c r="A9" s="18" t="s">
        <v>44</v>
      </c>
      <c r="B9" s="248">
        <v>0</v>
      </c>
      <c r="C9" s="248">
        <v>0</v>
      </c>
      <c r="D9" s="248">
        <v>0</v>
      </c>
      <c r="E9" s="242">
        <v>24000</v>
      </c>
      <c r="F9" s="242">
        <v>13499</v>
      </c>
      <c r="G9" s="248">
        <v>0</v>
      </c>
      <c r="H9" s="20"/>
      <c r="I9" s="20"/>
      <c r="J9" s="21"/>
      <c r="K9" s="21"/>
      <c r="L9" s="21"/>
      <c r="M9" s="21"/>
      <c r="N9" s="22">
        <v>1107</v>
      </c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</row>
    <row r="10" spans="1:33" ht="14.15" customHeight="1" x14ac:dyDescent="0.45">
      <c r="A10" s="18" t="s">
        <v>45</v>
      </c>
      <c r="B10" s="248">
        <v>0</v>
      </c>
      <c r="C10" s="248">
        <v>0</v>
      </c>
      <c r="D10" s="248">
        <v>0</v>
      </c>
      <c r="E10" s="242">
        <v>24000</v>
      </c>
      <c r="F10" s="242">
        <v>14436</v>
      </c>
      <c r="G10" s="248">
        <v>0</v>
      </c>
      <c r="H10" s="20"/>
      <c r="I10" s="20"/>
      <c r="J10" s="21"/>
      <c r="K10" s="21"/>
      <c r="L10" s="21"/>
      <c r="M10" s="21"/>
      <c r="N10" s="22">
        <v>1001</v>
      </c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</row>
    <row r="11" spans="1:33" ht="14.15" customHeight="1" x14ac:dyDescent="0.45">
      <c r="A11" s="18" t="s">
        <v>46</v>
      </c>
      <c r="B11" s="242">
        <v>80</v>
      </c>
      <c r="C11" s="242">
        <v>963</v>
      </c>
      <c r="D11" s="242">
        <v>1043</v>
      </c>
      <c r="E11" s="242">
        <v>24000</v>
      </c>
      <c r="F11" s="242">
        <v>13813</v>
      </c>
      <c r="G11" s="248">
        <v>0</v>
      </c>
      <c r="H11" s="20"/>
      <c r="I11" s="20"/>
      <c r="J11" s="21"/>
      <c r="K11" s="21"/>
      <c r="L11" s="21"/>
      <c r="M11" s="21"/>
      <c r="N11" s="22">
        <v>603</v>
      </c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</row>
    <row r="12" spans="1:33" ht="14.15" customHeight="1" x14ac:dyDescent="0.45">
      <c r="A12" s="18" t="s">
        <v>47</v>
      </c>
      <c r="B12" s="242">
        <v>40</v>
      </c>
      <c r="C12" s="242">
        <v>989</v>
      </c>
      <c r="D12" s="242">
        <v>1029</v>
      </c>
      <c r="E12" s="242">
        <v>24000</v>
      </c>
      <c r="F12" s="242">
        <v>13944</v>
      </c>
      <c r="G12" s="248">
        <v>0</v>
      </c>
      <c r="H12" s="20"/>
      <c r="I12" s="20"/>
      <c r="J12" s="21"/>
      <c r="K12" s="21"/>
      <c r="L12" s="21"/>
      <c r="M12" s="21"/>
      <c r="N12" s="22">
        <v>0</v>
      </c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</row>
    <row r="13" spans="1:33" ht="14.15" customHeight="1" x14ac:dyDescent="0.45">
      <c r="A13" s="18" t="s">
        <v>48</v>
      </c>
      <c r="B13" s="242">
        <v>40</v>
      </c>
      <c r="C13" s="242">
        <v>570</v>
      </c>
      <c r="D13" s="242">
        <v>610</v>
      </c>
      <c r="E13" s="242">
        <v>24000</v>
      </c>
      <c r="F13" s="242">
        <v>19123</v>
      </c>
      <c r="G13" s="242">
        <v>1027</v>
      </c>
      <c r="H13" s="20"/>
      <c r="I13" s="20"/>
      <c r="J13" s="21"/>
      <c r="K13" s="21"/>
      <c r="L13" s="21"/>
      <c r="M13" s="21"/>
      <c r="N13" s="22">
        <v>11</v>
      </c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</row>
    <row r="14" spans="1:33" ht="14.15" customHeight="1" x14ac:dyDescent="0.45">
      <c r="A14" s="18" t="s">
        <v>49</v>
      </c>
      <c r="B14" s="242">
        <v>0</v>
      </c>
      <c r="C14" s="242">
        <v>1296</v>
      </c>
      <c r="D14" s="242">
        <v>1296</v>
      </c>
      <c r="E14" s="242">
        <v>24000</v>
      </c>
      <c r="F14" s="242">
        <v>7880</v>
      </c>
      <c r="G14" s="242">
        <v>2259</v>
      </c>
      <c r="H14" s="20"/>
      <c r="I14" s="20"/>
      <c r="J14" s="21"/>
      <c r="K14" s="21"/>
      <c r="L14" s="21"/>
      <c r="M14" s="21"/>
      <c r="N14" s="22">
        <v>19</v>
      </c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</row>
    <row r="15" spans="1:33" ht="14.15" customHeight="1" x14ac:dyDescent="0.45">
      <c r="A15" s="18" t="s">
        <v>50</v>
      </c>
      <c r="B15" s="242">
        <v>80</v>
      </c>
      <c r="C15" s="242">
        <v>775</v>
      </c>
      <c r="D15" s="242">
        <v>855</v>
      </c>
      <c r="E15" s="242">
        <v>24000</v>
      </c>
      <c r="F15" s="242">
        <v>6812</v>
      </c>
      <c r="G15" s="242">
        <v>62054</v>
      </c>
      <c r="H15" s="20"/>
      <c r="I15" s="20"/>
      <c r="J15" s="21"/>
      <c r="K15" s="21"/>
      <c r="L15" s="21"/>
      <c r="M15" s="21"/>
      <c r="N15" s="22">
        <v>19</v>
      </c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</row>
    <row r="16" spans="1:33" ht="14.15" customHeight="1" x14ac:dyDescent="0.45">
      <c r="A16" s="18" t="s">
        <v>51</v>
      </c>
      <c r="B16" s="242">
        <v>73</v>
      </c>
      <c r="C16" s="242">
        <v>800</v>
      </c>
      <c r="D16" s="242">
        <v>873</v>
      </c>
      <c r="E16" s="242">
        <v>24000</v>
      </c>
      <c r="F16" s="242">
        <v>12010</v>
      </c>
      <c r="G16" s="242">
        <v>25976</v>
      </c>
      <c r="H16" s="20"/>
      <c r="I16" s="20"/>
      <c r="J16" s="21"/>
      <c r="K16" s="21"/>
      <c r="L16" s="21"/>
      <c r="M16" s="21"/>
      <c r="N16" s="22">
        <v>24</v>
      </c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</row>
    <row r="17" spans="1:33" ht="14.15" customHeight="1" x14ac:dyDescent="0.45">
      <c r="A17" s="18" t="s">
        <v>52</v>
      </c>
      <c r="B17" s="242">
        <v>17</v>
      </c>
      <c r="C17" s="242">
        <v>1003</v>
      </c>
      <c r="D17" s="242">
        <v>1020</v>
      </c>
      <c r="E17" s="242">
        <v>24000</v>
      </c>
      <c r="F17" s="242">
        <v>6060</v>
      </c>
      <c r="G17" s="242">
        <v>25701</v>
      </c>
      <c r="H17" s="20"/>
      <c r="I17" s="20"/>
      <c r="J17" s="21"/>
      <c r="K17" s="21"/>
      <c r="L17" s="21"/>
      <c r="M17" s="21"/>
      <c r="N17" s="22">
        <v>326</v>
      </c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</row>
    <row r="18" spans="1:33" ht="14.15" customHeight="1" x14ac:dyDescent="0.45">
      <c r="A18" s="18" t="s">
        <v>53</v>
      </c>
      <c r="B18" s="242">
        <v>82</v>
      </c>
      <c r="C18" s="242">
        <v>735</v>
      </c>
      <c r="D18" s="242">
        <v>817</v>
      </c>
      <c r="E18" s="242">
        <v>24000</v>
      </c>
      <c r="F18" s="242">
        <v>3838</v>
      </c>
      <c r="G18" s="242">
        <v>16852</v>
      </c>
      <c r="H18" s="20"/>
      <c r="I18" s="20"/>
      <c r="J18" s="21"/>
      <c r="K18" s="21"/>
      <c r="L18" s="21"/>
      <c r="M18" s="21"/>
      <c r="N18" s="22">
        <v>311</v>
      </c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</row>
    <row r="19" spans="1:33" ht="14.15" customHeight="1" x14ac:dyDescent="0.45">
      <c r="A19" s="18" t="s">
        <v>54</v>
      </c>
      <c r="B19" s="248">
        <v>0</v>
      </c>
      <c r="C19" s="242">
        <v>757</v>
      </c>
      <c r="D19" s="242">
        <v>757</v>
      </c>
      <c r="E19" s="242">
        <v>24000</v>
      </c>
      <c r="F19" s="242">
        <v>3702</v>
      </c>
      <c r="G19" s="242">
        <v>37024</v>
      </c>
      <c r="H19" s="20"/>
      <c r="I19" s="20"/>
      <c r="J19" s="21"/>
      <c r="K19" s="21"/>
      <c r="L19" s="21"/>
      <c r="M19" s="21"/>
      <c r="N19" s="22">
        <v>522</v>
      </c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</row>
    <row r="20" spans="1:33" ht="14.15" customHeight="1" x14ac:dyDescent="0.45">
      <c r="A20" s="18" t="s">
        <v>55</v>
      </c>
      <c r="B20" s="242">
        <v>105</v>
      </c>
      <c r="C20" s="242">
        <v>1247</v>
      </c>
      <c r="D20" s="242">
        <v>1352</v>
      </c>
      <c r="E20" s="242">
        <v>24000</v>
      </c>
      <c r="F20" s="242">
        <v>13494</v>
      </c>
      <c r="G20" s="242">
        <v>10581</v>
      </c>
      <c r="H20" s="20"/>
      <c r="I20" s="20"/>
      <c r="J20" s="21"/>
      <c r="K20" s="21"/>
      <c r="L20" s="21"/>
      <c r="M20" s="21"/>
      <c r="N20" s="22">
        <v>332</v>
      </c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</row>
    <row r="21" spans="1:33" ht="14.15" customHeight="1" x14ac:dyDescent="0.45">
      <c r="A21" s="18" t="s">
        <v>56</v>
      </c>
      <c r="B21" s="242">
        <v>76</v>
      </c>
      <c r="C21" s="242">
        <v>614</v>
      </c>
      <c r="D21" s="242">
        <v>690</v>
      </c>
      <c r="E21" s="242">
        <v>24000</v>
      </c>
      <c r="F21" s="242">
        <v>4345</v>
      </c>
      <c r="G21" s="242">
        <v>19364</v>
      </c>
      <c r="H21" s="20"/>
      <c r="I21" s="20"/>
      <c r="J21" s="21"/>
      <c r="K21" s="21"/>
      <c r="L21" s="21"/>
      <c r="M21" s="21"/>
      <c r="N21" s="22">
        <v>497</v>
      </c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</row>
    <row r="22" spans="1:33" ht="14.15" customHeight="1" x14ac:dyDescent="0.45">
      <c r="A22" s="18" t="s">
        <v>57</v>
      </c>
      <c r="B22" s="242">
        <v>80</v>
      </c>
      <c r="C22" s="242">
        <v>3327</v>
      </c>
      <c r="D22" s="242">
        <v>3407</v>
      </c>
      <c r="E22" s="242">
        <v>24000</v>
      </c>
      <c r="F22" s="242">
        <v>2332</v>
      </c>
      <c r="G22" s="242">
        <v>31710</v>
      </c>
      <c r="H22" s="20"/>
      <c r="I22" s="20"/>
      <c r="J22" s="21"/>
      <c r="K22" s="21"/>
      <c r="L22" s="21"/>
      <c r="M22" s="21"/>
      <c r="N22" s="22">
        <v>746</v>
      </c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</row>
    <row r="23" spans="1:33" ht="14.15" customHeight="1" x14ac:dyDescent="0.45">
      <c r="A23" s="18" t="s">
        <v>58</v>
      </c>
      <c r="B23" s="242">
        <v>73</v>
      </c>
      <c r="C23" s="242">
        <v>2739</v>
      </c>
      <c r="D23" s="242">
        <v>2812</v>
      </c>
      <c r="E23" s="242">
        <v>24000</v>
      </c>
      <c r="F23" s="242">
        <v>6520</v>
      </c>
      <c r="G23" s="243">
        <v>0</v>
      </c>
      <c r="H23" s="20"/>
      <c r="I23" s="20"/>
      <c r="J23" s="21"/>
      <c r="K23" s="21"/>
      <c r="L23" s="21"/>
      <c r="M23" s="21"/>
      <c r="N23" s="22">
        <v>498</v>
      </c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</row>
    <row r="24" spans="1:33" ht="14.15" customHeight="1" x14ac:dyDescent="0.45">
      <c r="A24" s="18" t="s">
        <v>59</v>
      </c>
      <c r="B24" s="242">
        <v>76</v>
      </c>
      <c r="C24" s="242">
        <v>2549</v>
      </c>
      <c r="D24" s="242">
        <v>2625</v>
      </c>
      <c r="E24" s="242">
        <v>24000</v>
      </c>
      <c r="F24" s="242">
        <v>3161</v>
      </c>
      <c r="G24" s="243">
        <v>0</v>
      </c>
      <c r="H24" s="20"/>
      <c r="I24" s="20"/>
      <c r="J24" s="21"/>
      <c r="K24" s="21"/>
      <c r="L24" s="21"/>
      <c r="M24" s="21"/>
      <c r="N24" s="22">
        <v>219</v>
      </c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</row>
    <row r="25" spans="1:33" ht="14.15" customHeight="1" x14ac:dyDescent="0.45">
      <c r="A25" s="24">
        <v>1999</v>
      </c>
      <c r="B25" s="242">
        <v>83</v>
      </c>
      <c r="C25" s="242">
        <v>916</v>
      </c>
      <c r="D25" s="242">
        <v>999</v>
      </c>
      <c r="E25" s="242">
        <v>24000</v>
      </c>
      <c r="F25" s="242">
        <v>3724</v>
      </c>
      <c r="G25" s="242">
        <v>1108</v>
      </c>
      <c r="H25" s="20"/>
      <c r="I25" s="20"/>
      <c r="J25" s="21"/>
      <c r="K25" s="21"/>
      <c r="L25" s="21"/>
      <c r="M25" s="21"/>
      <c r="N25" s="22">
        <v>385</v>
      </c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</row>
    <row r="26" spans="1:33" ht="14.15" customHeight="1" x14ac:dyDescent="0.45">
      <c r="A26" s="18" t="s">
        <v>60</v>
      </c>
      <c r="B26" s="242">
        <v>80</v>
      </c>
      <c r="C26" s="242">
        <v>1292</v>
      </c>
      <c r="D26" s="242">
        <v>1372</v>
      </c>
      <c r="E26" s="242">
        <v>24000</v>
      </c>
      <c r="F26" s="242">
        <v>4513</v>
      </c>
      <c r="G26" s="243">
        <v>0</v>
      </c>
      <c r="H26" s="20"/>
      <c r="I26" s="20"/>
      <c r="J26" s="21"/>
      <c r="K26" s="21"/>
      <c r="L26" s="21"/>
      <c r="M26" s="21"/>
      <c r="N26" s="22">
        <v>287</v>
      </c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</row>
    <row r="27" spans="1:33" ht="14.15" customHeight="1" x14ac:dyDescent="0.45">
      <c r="A27" s="25" t="s">
        <v>61</v>
      </c>
      <c r="B27" s="242">
        <v>51</v>
      </c>
      <c r="C27" s="242">
        <v>1043</v>
      </c>
      <c r="D27" s="242">
        <v>1094</v>
      </c>
      <c r="E27" s="242">
        <v>24000</v>
      </c>
      <c r="F27" s="242">
        <v>7223</v>
      </c>
      <c r="G27" s="242">
        <v>23039</v>
      </c>
      <c r="H27" s="20"/>
      <c r="I27" s="20"/>
      <c r="J27" s="21"/>
      <c r="K27" s="21"/>
      <c r="L27" s="21"/>
      <c r="M27" s="21"/>
      <c r="N27" s="22">
        <v>234</v>
      </c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</row>
    <row r="28" spans="1:33" ht="14.15" customHeight="1" x14ac:dyDescent="0.45">
      <c r="A28" s="25" t="s">
        <v>62</v>
      </c>
      <c r="B28" s="242">
        <v>109</v>
      </c>
      <c r="C28" s="242">
        <v>1013</v>
      </c>
      <c r="D28" s="242">
        <v>1122</v>
      </c>
      <c r="E28" s="242">
        <v>24000</v>
      </c>
      <c r="F28" s="242">
        <v>3735</v>
      </c>
      <c r="G28" s="246">
        <v>-19049</v>
      </c>
      <c r="H28" s="20"/>
      <c r="I28" s="20"/>
      <c r="J28" s="21"/>
      <c r="K28" s="21"/>
      <c r="L28" s="21"/>
      <c r="M28" s="21"/>
      <c r="N28" s="22">
        <v>75</v>
      </c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</row>
    <row r="29" spans="1:33" ht="14.15" customHeight="1" x14ac:dyDescent="0.45">
      <c r="A29" s="25" t="s">
        <v>63</v>
      </c>
      <c r="B29" s="242">
        <v>7</v>
      </c>
      <c r="C29" s="242">
        <v>680</v>
      </c>
      <c r="D29" s="242">
        <v>687</v>
      </c>
      <c r="E29" s="242">
        <v>24000</v>
      </c>
      <c r="F29" s="242">
        <v>4655</v>
      </c>
      <c r="G29" s="246">
        <v>-10288</v>
      </c>
      <c r="H29" s="20"/>
      <c r="I29" s="20"/>
      <c r="J29" s="21"/>
      <c r="K29" s="21"/>
      <c r="L29" s="21"/>
      <c r="M29" s="21"/>
      <c r="N29" s="22">
        <v>54</v>
      </c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</row>
    <row r="30" spans="1:33" ht="14.15" customHeight="1" x14ac:dyDescent="0.45">
      <c r="A30" s="25" t="s">
        <v>64</v>
      </c>
      <c r="B30" s="242">
        <v>20</v>
      </c>
      <c r="C30" s="242">
        <v>805</v>
      </c>
      <c r="D30" s="242">
        <v>825</v>
      </c>
      <c r="E30" s="242">
        <v>24000</v>
      </c>
      <c r="F30" s="242">
        <v>4721</v>
      </c>
      <c r="G30" s="243">
        <v>0</v>
      </c>
      <c r="H30" s="20"/>
      <c r="I30" s="20"/>
      <c r="J30" s="21"/>
      <c r="K30" s="21"/>
      <c r="L30" s="21"/>
      <c r="M30" s="21"/>
      <c r="N30" s="22">
        <v>54</v>
      </c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</row>
    <row r="31" spans="1:33" ht="14.15" customHeight="1" x14ac:dyDescent="0.45">
      <c r="A31" s="25" t="s">
        <v>65</v>
      </c>
      <c r="B31" s="242">
        <v>40</v>
      </c>
      <c r="C31" s="242">
        <v>356</v>
      </c>
      <c r="D31" s="242">
        <v>396</v>
      </c>
      <c r="E31" s="242">
        <v>24000</v>
      </c>
      <c r="F31" s="242">
        <v>3313</v>
      </c>
      <c r="G31" s="243">
        <v>0</v>
      </c>
      <c r="H31" s="20"/>
      <c r="I31" s="20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</row>
    <row r="32" spans="1:33" ht="14.15" customHeight="1" x14ac:dyDescent="0.45">
      <c r="A32" s="25" t="s">
        <v>66</v>
      </c>
      <c r="B32" s="242">
        <v>1</v>
      </c>
      <c r="C32" s="242">
        <v>513</v>
      </c>
      <c r="D32" s="242">
        <v>514</v>
      </c>
      <c r="E32" s="242">
        <v>24000</v>
      </c>
      <c r="F32" s="242">
        <v>4170</v>
      </c>
      <c r="G32" s="243">
        <v>0</v>
      </c>
      <c r="H32" s="20"/>
      <c r="I32" s="20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</row>
    <row r="33" spans="1:33" ht="14.15" customHeight="1" x14ac:dyDescent="0.45">
      <c r="A33" s="18" t="s">
        <v>67</v>
      </c>
      <c r="B33" s="242">
        <v>1</v>
      </c>
      <c r="C33" s="242">
        <v>829</v>
      </c>
      <c r="D33" s="242">
        <v>830</v>
      </c>
      <c r="E33" s="242">
        <v>24000</v>
      </c>
      <c r="F33" s="242">
        <v>7090</v>
      </c>
      <c r="G33" s="243">
        <v>0</v>
      </c>
      <c r="H33" s="20"/>
      <c r="I33" s="20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</row>
    <row r="34" spans="1:33" ht="14.15" customHeight="1" x14ac:dyDescent="0.45">
      <c r="A34" s="18" t="s">
        <v>68</v>
      </c>
      <c r="B34" s="243">
        <v>0</v>
      </c>
      <c r="C34" s="242">
        <v>867</v>
      </c>
      <c r="D34" s="242">
        <v>867</v>
      </c>
      <c r="E34" s="242">
        <v>24000</v>
      </c>
      <c r="F34" s="242">
        <v>1470</v>
      </c>
      <c r="G34" s="243">
        <v>0</v>
      </c>
      <c r="H34" s="20"/>
      <c r="I34" s="20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</row>
    <row r="35" spans="1:33" ht="14.15" customHeight="1" x14ac:dyDescent="0.45">
      <c r="A35" s="18" t="s">
        <v>69</v>
      </c>
      <c r="B35" s="243">
        <v>0</v>
      </c>
      <c r="C35" s="242">
        <v>753</v>
      </c>
      <c r="D35" s="242">
        <v>753</v>
      </c>
      <c r="E35" s="242">
        <v>24000</v>
      </c>
      <c r="F35" s="242">
        <v>2414</v>
      </c>
      <c r="G35" s="243">
        <v>0</v>
      </c>
      <c r="H35" s="20"/>
      <c r="I35" s="20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</row>
    <row r="36" spans="1:33" ht="14.15" customHeight="1" x14ac:dyDescent="0.45">
      <c r="A36" s="25" t="s">
        <v>70</v>
      </c>
      <c r="B36" s="243">
        <v>0</v>
      </c>
      <c r="C36" s="242">
        <v>694</v>
      </c>
      <c r="D36" s="242">
        <v>694</v>
      </c>
      <c r="E36" s="242">
        <v>24000</v>
      </c>
      <c r="F36" s="242">
        <v>2465</v>
      </c>
      <c r="G36" s="243">
        <v>0</v>
      </c>
      <c r="H36" s="20"/>
      <c r="I36" s="20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</row>
    <row r="37" spans="1:33" ht="14.15" customHeight="1" x14ac:dyDescent="0.45">
      <c r="A37" s="18" t="s">
        <v>71</v>
      </c>
      <c r="B37" s="243">
        <v>0</v>
      </c>
      <c r="C37" s="242">
        <v>660</v>
      </c>
      <c r="D37" s="242">
        <v>660</v>
      </c>
      <c r="E37" s="242">
        <v>24000</v>
      </c>
      <c r="F37" s="242">
        <v>2335</v>
      </c>
      <c r="G37" s="243">
        <v>0</v>
      </c>
      <c r="H37" s="20"/>
      <c r="I37" s="20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</row>
    <row r="38" spans="1:33" ht="14.15" customHeight="1" x14ac:dyDescent="0.45">
      <c r="A38" s="18" t="s">
        <v>72</v>
      </c>
      <c r="B38" s="243">
        <v>0</v>
      </c>
      <c r="C38" s="242">
        <v>197</v>
      </c>
      <c r="D38" s="242">
        <v>197</v>
      </c>
      <c r="E38" s="242">
        <v>24000</v>
      </c>
      <c r="F38" s="242">
        <v>2570</v>
      </c>
      <c r="G38" s="243">
        <v>0</v>
      </c>
      <c r="H38" s="20"/>
      <c r="I38" s="20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</row>
    <row r="39" spans="1:33" ht="14.15" customHeight="1" x14ac:dyDescent="0.45">
      <c r="A39" s="18" t="s">
        <v>73</v>
      </c>
      <c r="B39" s="243">
        <v>0</v>
      </c>
      <c r="C39" s="242">
        <v>286</v>
      </c>
      <c r="D39" s="242">
        <v>286</v>
      </c>
      <c r="E39" s="242">
        <v>24000</v>
      </c>
      <c r="F39" s="242">
        <v>7002</v>
      </c>
      <c r="G39" s="243">
        <v>0</v>
      </c>
      <c r="H39" s="20"/>
      <c r="I39" s="20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</row>
    <row r="40" spans="1:33" ht="14.15" customHeight="1" x14ac:dyDescent="0.45">
      <c r="A40" s="18" t="s">
        <v>74</v>
      </c>
      <c r="B40" s="243">
        <v>0</v>
      </c>
      <c r="C40" s="242">
        <v>348</v>
      </c>
      <c r="D40" s="242">
        <v>348</v>
      </c>
      <c r="E40" s="242">
        <v>24000</v>
      </c>
      <c r="F40" s="242">
        <v>991</v>
      </c>
      <c r="G40" s="243">
        <v>0</v>
      </c>
      <c r="H40" s="20"/>
      <c r="I40" s="20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</row>
    <row r="41" spans="1:33" ht="14.15" customHeight="1" x14ac:dyDescent="0.45">
      <c r="A41" s="18" t="s">
        <v>75</v>
      </c>
      <c r="B41" s="243">
        <v>0</v>
      </c>
      <c r="C41" s="242">
        <v>237</v>
      </c>
      <c r="D41" s="242">
        <v>237</v>
      </c>
      <c r="E41" s="242">
        <v>24000</v>
      </c>
      <c r="F41" s="243">
        <v>0</v>
      </c>
      <c r="G41" s="243">
        <v>0</v>
      </c>
      <c r="H41" s="20"/>
      <c r="I41" s="20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</row>
    <row r="42" spans="1:33" ht="14.15" customHeight="1" x14ac:dyDescent="0.45">
      <c r="A42" s="18" t="s">
        <v>76</v>
      </c>
      <c r="B42" s="243">
        <v>0</v>
      </c>
      <c r="C42" s="242">
        <v>170</v>
      </c>
      <c r="D42" s="242">
        <v>170</v>
      </c>
      <c r="E42" s="242">
        <v>24000</v>
      </c>
      <c r="F42" s="246">
        <v>246</v>
      </c>
      <c r="G42" s="243">
        <v>0</v>
      </c>
      <c r="H42" s="20"/>
      <c r="I42" s="20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</row>
    <row r="43" spans="1:33" ht="14.15" customHeight="1" x14ac:dyDescent="0.45">
      <c r="A43" s="18" t="s">
        <v>77</v>
      </c>
      <c r="B43" s="243">
        <v>0</v>
      </c>
      <c r="C43" s="242">
        <v>66</v>
      </c>
      <c r="D43" s="242">
        <v>66</v>
      </c>
      <c r="E43" s="242">
        <v>24000</v>
      </c>
      <c r="F43" s="246">
        <v>1296</v>
      </c>
      <c r="G43" s="243">
        <v>0</v>
      </c>
      <c r="H43" s="20"/>
      <c r="I43" s="20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</row>
    <row r="44" spans="1:33" ht="14.15" customHeight="1" x14ac:dyDescent="0.45">
      <c r="A44" s="18" t="s">
        <v>78</v>
      </c>
      <c r="B44" s="243">
        <v>0</v>
      </c>
      <c r="C44" s="242">
        <v>68</v>
      </c>
      <c r="D44" s="242">
        <v>68</v>
      </c>
      <c r="E44" s="242">
        <v>24000</v>
      </c>
      <c r="F44" s="246">
        <v>1597</v>
      </c>
      <c r="G44" s="243">
        <v>0</v>
      </c>
      <c r="H44" s="20"/>
      <c r="I44" s="20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</row>
    <row r="45" spans="1:33" ht="14.15" customHeight="1" x14ac:dyDescent="0.45">
      <c r="A45" s="18" t="s">
        <v>79</v>
      </c>
      <c r="B45" s="243">
        <v>0</v>
      </c>
      <c r="C45" s="242">
        <v>133</v>
      </c>
      <c r="D45" s="242">
        <v>133</v>
      </c>
      <c r="E45" s="242">
        <v>24000</v>
      </c>
      <c r="F45" s="246">
        <v>1519</v>
      </c>
      <c r="G45" s="243">
        <v>0</v>
      </c>
      <c r="H45" s="20"/>
      <c r="I45" s="20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</row>
    <row r="46" spans="1:33" ht="14.15" customHeight="1" x14ac:dyDescent="0.45">
      <c r="A46" s="18" t="s">
        <v>80</v>
      </c>
      <c r="B46" s="243">
        <v>0</v>
      </c>
      <c r="C46" s="242">
        <v>290</v>
      </c>
      <c r="D46" s="242">
        <v>290</v>
      </c>
      <c r="E46" s="242">
        <v>24000</v>
      </c>
      <c r="F46" s="246">
        <v>1512</v>
      </c>
      <c r="G46" s="243">
        <v>0</v>
      </c>
      <c r="H46" s="20"/>
      <c r="I46" s="20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</row>
    <row r="47" spans="1:33" ht="14.15" customHeight="1" x14ac:dyDescent="0.45">
      <c r="A47" s="18" t="s">
        <v>81</v>
      </c>
      <c r="B47" s="242">
        <v>0</v>
      </c>
      <c r="C47" s="242">
        <v>113</v>
      </c>
      <c r="D47" s="242">
        <v>113</v>
      </c>
      <c r="E47" s="242">
        <v>24000</v>
      </c>
      <c r="F47" s="242">
        <v>701</v>
      </c>
      <c r="G47" s="242">
        <v>0</v>
      </c>
      <c r="H47" s="20"/>
      <c r="I47" s="20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</row>
    <row r="48" spans="1:33" ht="14.15" customHeight="1" x14ac:dyDescent="0.45">
      <c r="A48" s="18" t="s">
        <v>82</v>
      </c>
      <c r="B48" s="242">
        <v>0</v>
      </c>
      <c r="C48" s="242">
        <v>153.85714285714286</v>
      </c>
      <c r="D48" s="242">
        <v>153.85714285714286</v>
      </c>
      <c r="E48" s="242">
        <v>24000</v>
      </c>
      <c r="F48" s="242">
        <v>981.57142857142856</v>
      </c>
      <c r="G48" s="242">
        <v>0</v>
      </c>
      <c r="H48" s="20"/>
      <c r="I48" s="20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</row>
    <row r="49" spans="1:33" ht="14.15" customHeight="1" x14ac:dyDescent="0.45">
      <c r="A49" s="18" t="s">
        <v>83</v>
      </c>
      <c r="B49" s="242">
        <v>0</v>
      </c>
      <c r="C49" s="242">
        <v>153.85714285714286</v>
      </c>
      <c r="D49" s="242">
        <v>153.85714285714286</v>
      </c>
      <c r="E49" s="242">
        <v>24000</v>
      </c>
      <c r="F49" s="242">
        <v>981.57142857142856</v>
      </c>
      <c r="G49" s="242">
        <v>0</v>
      </c>
      <c r="H49" s="20"/>
      <c r="I49" s="20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</row>
    <row r="50" spans="1:33" ht="14.15" customHeight="1" x14ac:dyDescent="0.45">
      <c r="A50" s="18" t="s">
        <v>84</v>
      </c>
      <c r="B50" s="242">
        <v>0</v>
      </c>
      <c r="C50" s="242">
        <v>153.85714285714286</v>
      </c>
      <c r="D50" s="242">
        <v>153.85714285714286</v>
      </c>
      <c r="E50" s="242">
        <v>24000</v>
      </c>
      <c r="F50" s="242">
        <v>981.57142857142856</v>
      </c>
      <c r="G50" s="242">
        <v>0</v>
      </c>
      <c r="H50" s="20"/>
      <c r="I50" s="20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  <c r="AD50" s="21"/>
      <c r="AE50" s="21"/>
      <c r="AF50" s="21"/>
      <c r="AG50" s="21"/>
    </row>
    <row r="51" spans="1:33" ht="14.15" customHeight="1" x14ac:dyDescent="0.45">
      <c r="A51" s="18" t="s">
        <v>85</v>
      </c>
      <c r="B51" s="242">
        <v>2.8571428571428572</v>
      </c>
      <c r="C51" s="242">
        <v>153.85714285714286</v>
      </c>
      <c r="D51" s="242">
        <v>156.71428571428572</v>
      </c>
      <c r="E51" s="242">
        <v>24000</v>
      </c>
      <c r="F51" s="242">
        <v>981.57142857142856</v>
      </c>
      <c r="G51" s="242">
        <v>10000</v>
      </c>
      <c r="H51" s="20"/>
      <c r="I51" s="20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</row>
    <row r="52" spans="1:33" ht="14.15" customHeight="1" x14ac:dyDescent="0.45">
      <c r="A52" s="18" t="s">
        <v>86</v>
      </c>
      <c r="B52" s="242">
        <v>2.8571428571428572</v>
      </c>
      <c r="C52" s="242">
        <v>153.85714285714286</v>
      </c>
      <c r="D52" s="242">
        <v>156.71428571428572</v>
      </c>
      <c r="E52" s="242">
        <v>24000</v>
      </c>
      <c r="F52" s="242">
        <v>981.57142857142856</v>
      </c>
      <c r="G52" s="242">
        <v>10000</v>
      </c>
      <c r="H52" s="20"/>
      <c r="I52" s="20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</row>
    <row r="53" spans="1:33" ht="14.15" customHeight="1" x14ac:dyDescent="0.45">
      <c r="A53" s="18" t="s">
        <v>87</v>
      </c>
      <c r="B53" s="242">
        <v>2.8571428571428572</v>
      </c>
      <c r="C53" s="242">
        <v>153.85714285714286</v>
      </c>
      <c r="D53" s="242">
        <v>156.71428571428572</v>
      </c>
      <c r="E53" s="242">
        <v>24000</v>
      </c>
      <c r="F53" s="242">
        <v>981.57142857142856</v>
      </c>
      <c r="G53" s="242">
        <v>10000</v>
      </c>
      <c r="H53" s="20"/>
      <c r="I53" s="20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  <c r="AD53" s="21"/>
      <c r="AE53" s="21"/>
      <c r="AF53" s="21"/>
      <c r="AG53" s="21"/>
    </row>
    <row r="54" spans="1:33" ht="14.15" customHeight="1" x14ac:dyDescent="0.45">
      <c r="A54" s="18" t="s">
        <v>88</v>
      </c>
      <c r="B54" s="242">
        <v>2.8571428571428572</v>
      </c>
      <c r="C54" s="242">
        <v>153.85714285714286</v>
      </c>
      <c r="D54" s="242">
        <v>156.71428571428572</v>
      </c>
      <c r="E54" s="242">
        <v>24000</v>
      </c>
      <c r="F54" s="242">
        <v>981.57142857142856</v>
      </c>
      <c r="G54" s="242">
        <v>10000</v>
      </c>
      <c r="H54" s="20"/>
      <c r="I54" s="20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</row>
    <row r="55" spans="1:33" ht="14.15" customHeight="1" x14ac:dyDescent="0.45">
      <c r="A55" s="18" t="s">
        <v>89</v>
      </c>
      <c r="B55" s="242">
        <v>2.8571428571428572</v>
      </c>
      <c r="C55" s="242">
        <v>153.85714285714286</v>
      </c>
      <c r="D55" s="242">
        <v>156.71428571428572</v>
      </c>
      <c r="E55" s="242">
        <v>24000</v>
      </c>
      <c r="F55" s="242">
        <v>981.57142857142856</v>
      </c>
      <c r="G55" s="242">
        <v>10000</v>
      </c>
      <c r="H55" s="20"/>
      <c r="I55" s="20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</row>
    <row r="56" spans="1:33" ht="14.15" customHeight="1" thickBot="1" x14ac:dyDescent="0.5">
      <c r="A56" s="18" t="s">
        <v>90</v>
      </c>
      <c r="B56" s="242">
        <v>2.8571428571428572</v>
      </c>
      <c r="C56" s="242">
        <v>153.85714285714286</v>
      </c>
      <c r="D56" s="242">
        <v>156.71428571428572</v>
      </c>
      <c r="E56" s="242">
        <v>24000</v>
      </c>
      <c r="F56" s="242">
        <v>981.57142857142856</v>
      </c>
      <c r="G56" s="242">
        <v>10000</v>
      </c>
      <c r="H56" s="20"/>
      <c r="I56" s="20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</row>
    <row r="57" spans="1:33" ht="18.5" x14ac:dyDescent="0.45">
      <c r="A57" s="18" t="s">
        <v>91</v>
      </c>
      <c r="B57" s="247">
        <v>1231.1428571428573</v>
      </c>
      <c r="C57" s="247">
        <v>32206.714285714272</v>
      </c>
      <c r="D57" s="247">
        <v>33437.857142857123</v>
      </c>
      <c r="E57" s="247">
        <v>1200000</v>
      </c>
      <c r="F57" s="247">
        <v>232131.14285714278</v>
      </c>
      <c r="G57" s="247">
        <v>287358</v>
      </c>
      <c r="H57" s="20"/>
      <c r="I57" s="20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</row>
    <row r="58" spans="1:33" ht="18.5" x14ac:dyDescent="0.45">
      <c r="A58" s="25" t="s">
        <v>92</v>
      </c>
      <c r="B58" s="242">
        <v>2.8571428571428572</v>
      </c>
      <c r="C58" s="242">
        <v>153.85714285714286</v>
      </c>
      <c r="D58" s="242">
        <v>156.71428571428572</v>
      </c>
      <c r="E58" s="242">
        <v>24000</v>
      </c>
      <c r="F58" s="242">
        <v>981.57142857142856</v>
      </c>
      <c r="G58" s="242">
        <v>10000</v>
      </c>
      <c r="H58" s="20"/>
      <c r="I58" s="20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</row>
    <row r="59" spans="1:33" ht="17.5" x14ac:dyDescent="0.45">
      <c r="A59" s="28" t="s">
        <v>93</v>
      </c>
      <c r="B59" s="250">
        <v>17.142857142857142</v>
      </c>
      <c r="C59" s="250">
        <v>1230.8571428571429</v>
      </c>
      <c r="D59" s="242">
        <v>1248</v>
      </c>
      <c r="E59" s="250">
        <v>192000</v>
      </c>
      <c r="F59" s="250">
        <v>7852.5714285714284</v>
      </c>
      <c r="G59" s="250">
        <v>60000</v>
      </c>
      <c r="H59" s="30"/>
      <c r="I59" s="30"/>
    </row>
    <row r="60" spans="1:33" x14ac:dyDescent="0.35">
      <c r="B60" s="30"/>
      <c r="C60" s="30"/>
      <c r="D60" s="30"/>
      <c r="E60" s="30"/>
      <c r="F60" s="30"/>
      <c r="G60" s="30"/>
      <c r="H60" s="30"/>
      <c r="I60" s="30"/>
    </row>
    <row r="61" spans="1:33" x14ac:dyDescent="0.35">
      <c r="B61" s="30"/>
      <c r="C61" s="30"/>
      <c r="D61" s="30"/>
      <c r="E61" s="30"/>
      <c r="F61" s="30"/>
      <c r="G61" s="30"/>
      <c r="H61" s="30"/>
      <c r="I61" s="30"/>
    </row>
    <row r="62" spans="1:33" x14ac:dyDescent="0.35">
      <c r="B62" s="30"/>
      <c r="C62" s="30"/>
      <c r="D62" s="30"/>
      <c r="E62" s="30"/>
      <c r="F62" s="30"/>
      <c r="G62" s="30"/>
      <c r="H62" s="30"/>
      <c r="I62" s="30"/>
    </row>
    <row r="63" spans="1:33" x14ac:dyDescent="0.35">
      <c r="B63" s="30"/>
      <c r="C63" s="30"/>
      <c r="D63" s="30"/>
      <c r="E63" s="30"/>
      <c r="F63" s="30"/>
      <c r="G63" s="30"/>
      <c r="H63" s="30"/>
      <c r="I63" s="30"/>
    </row>
    <row r="64" spans="1:33" x14ac:dyDescent="0.35">
      <c r="B64" s="30"/>
      <c r="C64" s="30"/>
      <c r="D64" s="30"/>
      <c r="E64" s="30"/>
      <c r="F64" s="30"/>
      <c r="G64" s="30"/>
      <c r="H64" s="30"/>
      <c r="I64" s="30"/>
    </row>
    <row r="65" spans="2:9" x14ac:dyDescent="0.35">
      <c r="B65" s="30"/>
      <c r="C65" s="30"/>
      <c r="D65" s="30"/>
      <c r="E65" s="30"/>
      <c r="F65" s="30"/>
      <c r="G65" s="30"/>
      <c r="H65" s="30"/>
      <c r="I65" s="30"/>
    </row>
    <row r="66" spans="2:9" x14ac:dyDescent="0.35">
      <c r="B66" s="30"/>
      <c r="C66" s="30"/>
      <c r="D66" s="30"/>
      <c r="E66" s="30"/>
      <c r="F66" s="30"/>
      <c r="G66" s="30"/>
      <c r="H66" s="30"/>
      <c r="I66" s="30"/>
    </row>
    <row r="67" spans="2:9" x14ac:dyDescent="0.35">
      <c r="B67" s="30"/>
      <c r="C67" s="30"/>
      <c r="D67" s="30"/>
      <c r="E67" s="30"/>
      <c r="F67" s="30"/>
      <c r="G67" s="30"/>
      <c r="H67" s="30"/>
      <c r="I67" s="30"/>
    </row>
    <row r="68" spans="2:9" x14ac:dyDescent="0.35">
      <c r="B68" s="30"/>
      <c r="C68" s="30"/>
      <c r="D68" s="30"/>
      <c r="E68" s="30"/>
      <c r="F68" s="30"/>
      <c r="G68" s="30"/>
      <c r="H68" s="30"/>
      <c r="I68" s="30"/>
    </row>
    <row r="69" spans="2:9" x14ac:dyDescent="0.35">
      <c r="B69" s="30"/>
      <c r="C69" s="30"/>
      <c r="D69" s="30"/>
      <c r="E69" s="30"/>
      <c r="F69" s="30"/>
      <c r="G69" s="30"/>
      <c r="H69" s="30"/>
      <c r="I69" s="30"/>
    </row>
    <row r="70" spans="2:9" x14ac:dyDescent="0.35">
      <c r="B70" s="30"/>
      <c r="C70" s="30"/>
      <c r="D70" s="30"/>
      <c r="E70" s="30"/>
      <c r="F70" s="30"/>
      <c r="G70" s="30"/>
      <c r="H70" s="30"/>
      <c r="I70" s="30"/>
    </row>
    <row r="71" spans="2:9" x14ac:dyDescent="0.35">
      <c r="B71" s="30"/>
      <c r="C71" s="30"/>
      <c r="D71" s="30"/>
      <c r="E71" s="30"/>
      <c r="F71" s="30"/>
      <c r="G71" s="30"/>
      <c r="H71" s="30"/>
      <c r="I71" s="30"/>
    </row>
    <row r="72" spans="2:9" x14ac:dyDescent="0.35">
      <c r="B72" s="30"/>
      <c r="C72" s="30"/>
      <c r="D72" s="30"/>
      <c r="E72" s="30"/>
      <c r="F72" s="30"/>
      <c r="G72" s="30"/>
      <c r="H72" s="30"/>
      <c r="I72" s="30"/>
    </row>
    <row r="73" spans="2:9" x14ac:dyDescent="0.35">
      <c r="B73" s="30"/>
      <c r="C73" s="30"/>
      <c r="D73" s="30"/>
      <c r="E73" s="30"/>
      <c r="F73" s="30"/>
      <c r="G73" s="30"/>
      <c r="H73" s="30"/>
      <c r="I73" s="30"/>
    </row>
    <row r="74" spans="2:9" x14ac:dyDescent="0.35">
      <c r="B74" s="30"/>
      <c r="C74" s="30"/>
      <c r="D74" s="30"/>
      <c r="E74" s="30"/>
      <c r="F74" s="30"/>
      <c r="G74" s="30"/>
      <c r="H74" s="30"/>
      <c r="I74" s="30"/>
    </row>
    <row r="75" spans="2:9" x14ac:dyDescent="0.35">
      <c r="B75" s="30"/>
      <c r="C75" s="30"/>
      <c r="D75" s="30"/>
      <c r="E75" s="30"/>
      <c r="F75" s="30"/>
      <c r="G75" s="30"/>
      <c r="H75" s="30"/>
      <c r="I75" s="30"/>
    </row>
    <row r="76" spans="2:9" x14ac:dyDescent="0.35">
      <c r="B76" s="30"/>
      <c r="C76" s="30"/>
      <c r="D76" s="30"/>
      <c r="E76" s="30"/>
      <c r="F76" s="30"/>
      <c r="G76" s="30"/>
      <c r="H76" s="30"/>
      <c r="I76" s="30"/>
    </row>
    <row r="77" spans="2:9" x14ac:dyDescent="0.35">
      <c r="B77" s="30"/>
      <c r="C77" s="30"/>
      <c r="D77" s="30"/>
      <c r="E77" s="30"/>
      <c r="F77" s="30"/>
      <c r="G77" s="30"/>
      <c r="H77" s="30"/>
      <c r="I77" s="30"/>
    </row>
    <row r="78" spans="2:9" x14ac:dyDescent="0.35">
      <c r="B78" s="30"/>
      <c r="C78" s="30"/>
      <c r="D78" s="30"/>
      <c r="E78" s="30"/>
      <c r="F78" s="30"/>
      <c r="G78" s="30"/>
      <c r="H78" s="30"/>
      <c r="I78" s="30"/>
    </row>
    <row r="79" spans="2:9" x14ac:dyDescent="0.35">
      <c r="B79" s="30"/>
      <c r="C79" s="30"/>
      <c r="D79" s="30"/>
      <c r="E79" s="30"/>
      <c r="F79" s="30"/>
      <c r="G79" s="30"/>
      <c r="H79" s="30"/>
      <c r="I79" s="30"/>
    </row>
    <row r="80" spans="2:9" x14ac:dyDescent="0.35">
      <c r="B80" s="30"/>
      <c r="C80" s="30"/>
      <c r="D80" s="30"/>
      <c r="E80" s="30"/>
      <c r="F80" s="30"/>
      <c r="G80" s="30"/>
      <c r="H80" s="30"/>
      <c r="I80" s="30"/>
    </row>
    <row r="81" spans="2:9" x14ac:dyDescent="0.35">
      <c r="B81" s="30"/>
      <c r="C81" s="30"/>
      <c r="D81" s="30"/>
      <c r="E81" s="30"/>
      <c r="F81" s="30"/>
      <c r="G81" s="30"/>
      <c r="H81" s="30"/>
      <c r="I81" s="30"/>
    </row>
    <row r="82" spans="2:9" x14ac:dyDescent="0.35">
      <c r="B82" s="30"/>
      <c r="C82" s="30"/>
      <c r="D82" s="30"/>
      <c r="E82" s="30"/>
      <c r="F82" s="30"/>
      <c r="G82" s="30"/>
      <c r="H82" s="30"/>
      <c r="I82" s="30"/>
    </row>
    <row r="83" spans="2:9" x14ac:dyDescent="0.35">
      <c r="B83" s="30"/>
      <c r="C83" s="30"/>
      <c r="D83" s="30"/>
      <c r="E83" s="30"/>
      <c r="F83" s="30"/>
      <c r="G83" s="30"/>
      <c r="H83" s="30"/>
      <c r="I83" s="30"/>
    </row>
    <row r="84" spans="2:9" x14ac:dyDescent="0.35">
      <c r="B84" s="30"/>
      <c r="C84" s="30"/>
      <c r="D84" s="30"/>
      <c r="E84" s="30"/>
      <c r="F84" s="30"/>
      <c r="G84" s="30"/>
      <c r="H84" s="30"/>
      <c r="I84" s="30"/>
    </row>
    <row r="85" spans="2:9" x14ac:dyDescent="0.35">
      <c r="B85" s="30"/>
      <c r="C85" s="30"/>
      <c r="D85" s="30"/>
      <c r="E85" s="30"/>
      <c r="F85" s="30"/>
      <c r="G85" s="30"/>
      <c r="H85" s="30"/>
      <c r="I85" s="30"/>
    </row>
    <row r="86" spans="2:9" x14ac:dyDescent="0.35">
      <c r="B86" s="30"/>
      <c r="C86" s="30"/>
      <c r="D86" s="30"/>
      <c r="E86" s="30"/>
      <c r="F86" s="30"/>
      <c r="G86" s="30"/>
      <c r="H86" s="30"/>
      <c r="I86" s="30"/>
    </row>
    <row r="87" spans="2:9" x14ac:dyDescent="0.35">
      <c r="B87" s="30"/>
      <c r="C87" s="30"/>
      <c r="D87" s="30"/>
      <c r="E87" s="30"/>
      <c r="F87" s="30"/>
      <c r="G87" s="30"/>
      <c r="H87" s="30"/>
      <c r="I87" s="30"/>
    </row>
    <row r="88" spans="2:9" x14ac:dyDescent="0.35">
      <c r="B88" s="30"/>
      <c r="C88" s="30"/>
      <c r="D88" s="30"/>
      <c r="E88" s="30"/>
      <c r="F88" s="30"/>
      <c r="G88" s="30"/>
      <c r="H88" s="30"/>
      <c r="I88" s="30"/>
    </row>
    <row r="89" spans="2:9" x14ac:dyDescent="0.35">
      <c r="B89" s="30"/>
      <c r="C89" s="30"/>
      <c r="D89" s="30"/>
      <c r="E89" s="30"/>
      <c r="F89" s="30"/>
      <c r="G89" s="30"/>
      <c r="H89" s="30"/>
      <c r="I89" s="30"/>
    </row>
    <row r="90" spans="2:9" x14ac:dyDescent="0.35">
      <c r="B90" s="30"/>
      <c r="C90" s="30"/>
      <c r="D90" s="30"/>
      <c r="E90" s="30"/>
      <c r="F90" s="30"/>
      <c r="G90" s="30"/>
      <c r="H90" s="30"/>
      <c r="I90" s="30"/>
    </row>
    <row r="91" spans="2:9" x14ac:dyDescent="0.35">
      <c r="B91" s="30"/>
      <c r="C91" s="30"/>
      <c r="D91" s="30"/>
      <c r="E91" s="30"/>
      <c r="F91" s="30"/>
      <c r="G91" s="30"/>
      <c r="H91" s="30"/>
      <c r="I91" s="30"/>
    </row>
    <row r="92" spans="2:9" x14ac:dyDescent="0.35">
      <c r="B92" s="30"/>
      <c r="C92" s="30"/>
      <c r="D92" s="30"/>
      <c r="E92" s="30"/>
      <c r="F92" s="30"/>
      <c r="G92" s="30"/>
      <c r="H92" s="30"/>
      <c r="I92" s="30"/>
    </row>
    <row r="93" spans="2:9" x14ac:dyDescent="0.35">
      <c r="B93" s="30"/>
      <c r="C93" s="30"/>
      <c r="D93" s="30"/>
      <c r="E93" s="30"/>
      <c r="F93" s="30"/>
      <c r="G93" s="30"/>
      <c r="H93" s="30"/>
      <c r="I93" s="30"/>
    </row>
    <row r="94" spans="2:9" x14ac:dyDescent="0.35">
      <c r="B94" s="30"/>
      <c r="C94" s="30"/>
      <c r="D94" s="30"/>
      <c r="E94" s="30"/>
      <c r="F94" s="30"/>
      <c r="G94" s="30"/>
      <c r="H94" s="30"/>
      <c r="I94" s="30"/>
    </row>
    <row r="95" spans="2:9" x14ac:dyDescent="0.35">
      <c r="B95" s="30"/>
      <c r="C95" s="30"/>
      <c r="D95" s="30"/>
      <c r="E95" s="30"/>
      <c r="F95" s="30"/>
      <c r="G95" s="30"/>
      <c r="H95" s="30"/>
      <c r="I95" s="30"/>
    </row>
    <row r="96" spans="2:9" x14ac:dyDescent="0.35">
      <c r="B96" s="30"/>
      <c r="C96" s="30"/>
      <c r="D96" s="30"/>
      <c r="E96" s="30"/>
      <c r="F96" s="30"/>
      <c r="G96" s="30"/>
      <c r="H96" s="30"/>
      <c r="I96" s="30"/>
    </row>
    <row r="97" spans="2:9" x14ac:dyDescent="0.35">
      <c r="B97" s="30"/>
      <c r="C97" s="30"/>
      <c r="D97" s="30"/>
      <c r="E97" s="30"/>
      <c r="F97" s="30"/>
      <c r="G97" s="30"/>
      <c r="H97" s="30"/>
      <c r="I97" s="30"/>
    </row>
    <row r="98" spans="2:9" x14ac:dyDescent="0.35">
      <c r="B98" s="30"/>
      <c r="C98" s="30"/>
      <c r="D98" s="30"/>
      <c r="E98" s="30"/>
      <c r="F98" s="30"/>
      <c r="G98" s="30"/>
      <c r="H98" s="30"/>
      <c r="I98" s="30"/>
    </row>
    <row r="99" spans="2:9" x14ac:dyDescent="0.35">
      <c r="B99" s="30"/>
      <c r="C99" s="30"/>
      <c r="D99" s="30"/>
      <c r="E99" s="30"/>
      <c r="F99" s="30"/>
      <c r="G99" s="30"/>
      <c r="H99" s="30"/>
      <c r="I99" s="30"/>
    </row>
    <row r="100" spans="2:9" x14ac:dyDescent="0.35">
      <c r="B100" s="30"/>
      <c r="C100" s="30"/>
      <c r="D100" s="30"/>
      <c r="E100" s="30"/>
      <c r="F100" s="30"/>
      <c r="G100" s="30"/>
      <c r="H100" s="30"/>
      <c r="I100" s="30"/>
    </row>
    <row r="101" spans="2:9" x14ac:dyDescent="0.35">
      <c r="B101" s="30"/>
      <c r="C101" s="30"/>
      <c r="D101" s="30"/>
      <c r="E101" s="30"/>
      <c r="F101" s="30"/>
      <c r="G101" s="30"/>
      <c r="H101" s="30"/>
      <c r="I101" s="30"/>
    </row>
    <row r="102" spans="2:9" x14ac:dyDescent="0.35">
      <c r="B102" s="30"/>
      <c r="C102" s="30"/>
      <c r="D102" s="30"/>
      <c r="E102" s="30"/>
      <c r="F102" s="30"/>
      <c r="G102" s="30"/>
      <c r="H102" s="30"/>
      <c r="I102" s="30"/>
    </row>
    <row r="103" spans="2:9" x14ac:dyDescent="0.35">
      <c r="B103" s="30"/>
      <c r="C103" s="30"/>
      <c r="D103" s="30"/>
      <c r="E103" s="30"/>
      <c r="F103" s="30"/>
      <c r="G103" s="30"/>
      <c r="H103" s="30"/>
      <c r="I103" s="30"/>
    </row>
    <row r="104" spans="2:9" x14ac:dyDescent="0.35">
      <c r="B104" s="30"/>
      <c r="C104" s="30"/>
      <c r="D104" s="30"/>
      <c r="E104" s="30"/>
      <c r="F104" s="30"/>
      <c r="G104" s="30"/>
      <c r="H104" s="30"/>
      <c r="I104" s="30"/>
    </row>
    <row r="105" spans="2:9" x14ac:dyDescent="0.35">
      <c r="B105" s="30"/>
      <c r="C105" s="30"/>
      <c r="D105" s="30"/>
      <c r="E105" s="30"/>
      <c r="F105" s="30"/>
      <c r="G105" s="30"/>
      <c r="H105" s="30"/>
      <c r="I105" s="30"/>
    </row>
    <row r="106" spans="2:9" x14ac:dyDescent="0.35">
      <c r="B106" s="30"/>
      <c r="C106" s="30"/>
      <c r="D106" s="30"/>
      <c r="E106" s="30"/>
      <c r="F106" s="30"/>
      <c r="G106" s="30"/>
      <c r="H106" s="30"/>
      <c r="I106" s="30"/>
    </row>
    <row r="107" spans="2:9" x14ac:dyDescent="0.35">
      <c r="B107" s="30"/>
      <c r="C107" s="30"/>
      <c r="D107" s="30"/>
      <c r="E107" s="30"/>
      <c r="F107" s="30"/>
      <c r="G107" s="30"/>
      <c r="H107" s="30"/>
      <c r="I107" s="30"/>
    </row>
    <row r="108" spans="2:9" x14ac:dyDescent="0.35">
      <c r="B108" s="30"/>
      <c r="C108" s="30"/>
      <c r="D108" s="30"/>
      <c r="E108" s="30"/>
      <c r="F108" s="30"/>
      <c r="G108" s="30"/>
      <c r="H108" s="30"/>
      <c r="I108" s="30"/>
    </row>
    <row r="109" spans="2:9" x14ac:dyDescent="0.35">
      <c r="B109" s="30"/>
      <c r="C109" s="30"/>
      <c r="D109" s="30"/>
      <c r="E109" s="30"/>
      <c r="F109" s="30"/>
      <c r="G109" s="30"/>
      <c r="H109" s="30"/>
      <c r="I109" s="30"/>
    </row>
    <row r="110" spans="2:9" x14ac:dyDescent="0.35">
      <c r="B110" s="30"/>
      <c r="C110" s="30"/>
      <c r="D110" s="30"/>
      <c r="E110" s="30"/>
      <c r="F110" s="30"/>
      <c r="G110" s="30"/>
      <c r="H110" s="30"/>
      <c r="I110" s="30"/>
    </row>
    <row r="111" spans="2:9" x14ac:dyDescent="0.35">
      <c r="B111" s="30"/>
      <c r="C111" s="30"/>
      <c r="D111" s="30"/>
      <c r="E111" s="30"/>
      <c r="F111" s="30"/>
      <c r="G111" s="30"/>
      <c r="H111" s="30"/>
      <c r="I111" s="30"/>
    </row>
    <row r="112" spans="2:9" x14ac:dyDescent="0.35">
      <c r="B112" s="30"/>
      <c r="C112" s="30"/>
      <c r="D112" s="30"/>
      <c r="E112" s="30"/>
      <c r="F112" s="30"/>
      <c r="G112" s="30"/>
      <c r="H112" s="30"/>
      <c r="I112" s="30"/>
    </row>
    <row r="113" spans="2:9" x14ac:dyDescent="0.35">
      <c r="B113" s="30"/>
      <c r="C113" s="30"/>
      <c r="D113" s="30"/>
      <c r="E113" s="30"/>
      <c r="F113" s="30"/>
      <c r="G113" s="30"/>
      <c r="H113" s="30"/>
      <c r="I113" s="30"/>
    </row>
    <row r="114" spans="2:9" x14ac:dyDescent="0.35">
      <c r="B114" s="30"/>
      <c r="C114" s="30"/>
      <c r="D114" s="30"/>
      <c r="E114" s="30"/>
      <c r="F114" s="30"/>
      <c r="G114" s="30"/>
      <c r="H114" s="30"/>
      <c r="I114" s="30"/>
    </row>
    <row r="115" spans="2:9" x14ac:dyDescent="0.35">
      <c r="B115" s="30"/>
      <c r="C115" s="30"/>
      <c r="D115" s="30"/>
      <c r="E115" s="30"/>
      <c r="F115" s="30"/>
      <c r="G115" s="30"/>
      <c r="H115" s="30"/>
      <c r="I115" s="30"/>
    </row>
    <row r="116" spans="2:9" x14ac:dyDescent="0.35">
      <c r="B116" s="30"/>
      <c r="C116" s="30"/>
      <c r="D116" s="30"/>
      <c r="E116" s="30"/>
      <c r="F116" s="30"/>
      <c r="G116" s="30"/>
      <c r="H116" s="30"/>
      <c r="I116" s="30"/>
    </row>
    <row r="117" spans="2:9" x14ac:dyDescent="0.35">
      <c r="B117" s="30"/>
      <c r="C117" s="30"/>
      <c r="D117" s="30"/>
      <c r="E117" s="30"/>
      <c r="F117" s="30"/>
      <c r="G117" s="30"/>
      <c r="H117" s="30"/>
      <c r="I117" s="30"/>
    </row>
    <row r="118" spans="2:9" x14ac:dyDescent="0.35">
      <c r="B118" s="30"/>
      <c r="C118" s="30"/>
      <c r="D118" s="30"/>
      <c r="E118" s="30"/>
      <c r="F118" s="30"/>
      <c r="G118" s="30"/>
      <c r="H118" s="30"/>
      <c r="I118" s="30"/>
    </row>
    <row r="119" spans="2:9" x14ac:dyDescent="0.35">
      <c r="B119" s="30"/>
      <c r="C119" s="30"/>
      <c r="D119" s="30"/>
      <c r="E119" s="30"/>
      <c r="F119" s="30"/>
      <c r="G119" s="30"/>
      <c r="H119" s="30"/>
      <c r="I119" s="30"/>
    </row>
    <row r="120" spans="2:9" x14ac:dyDescent="0.35">
      <c r="B120" s="30"/>
      <c r="C120" s="30"/>
      <c r="D120" s="30"/>
      <c r="E120" s="30"/>
      <c r="F120" s="30"/>
      <c r="G120" s="30"/>
      <c r="H120" s="30"/>
      <c r="I120" s="30"/>
    </row>
    <row r="121" spans="2:9" x14ac:dyDescent="0.35">
      <c r="B121" s="30"/>
      <c r="C121" s="30"/>
      <c r="D121" s="30"/>
      <c r="E121" s="30"/>
      <c r="F121" s="30"/>
      <c r="G121" s="30"/>
      <c r="H121" s="30"/>
      <c r="I121" s="30"/>
    </row>
    <row r="122" spans="2:9" x14ac:dyDescent="0.35">
      <c r="B122" s="30"/>
      <c r="C122" s="30"/>
      <c r="D122" s="30"/>
      <c r="E122" s="30"/>
      <c r="F122" s="30"/>
      <c r="G122" s="30"/>
      <c r="H122" s="30"/>
      <c r="I122" s="30"/>
    </row>
    <row r="123" spans="2:9" x14ac:dyDescent="0.35">
      <c r="B123" s="30"/>
      <c r="C123" s="30"/>
      <c r="D123" s="30"/>
      <c r="E123" s="30"/>
      <c r="F123" s="30"/>
      <c r="G123" s="30"/>
      <c r="H123" s="30"/>
      <c r="I123" s="30"/>
    </row>
    <row r="124" spans="2:9" x14ac:dyDescent="0.35">
      <c r="B124" s="30"/>
      <c r="C124" s="30"/>
      <c r="D124" s="30"/>
      <c r="E124" s="30"/>
      <c r="F124" s="30"/>
      <c r="G124" s="30"/>
      <c r="H124" s="30"/>
      <c r="I124" s="30"/>
    </row>
    <row r="125" spans="2:9" x14ac:dyDescent="0.35">
      <c r="B125" s="30"/>
      <c r="C125" s="30"/>
      <c r="D125" s="30"/>
      <c r="E125" s="30"/>
      <c r="F125" s="30"/>
      <c r="G125" s="30"/>
      <c r="H125" s="30"/>
      <c r="I125" s="30"/>
    </row>
    <row r="126" spans="2:9" x14ac:dyDescent="0.35">
      <c r="B126" s="30"/>
      <c r="C126" s="30"/>
      <c r="D126" s="30"/>
      <c r="E126" s="30"/>
      <c r="F126" s="30"/>
      <c r="G126" s="30"/>
      <c r="H126" s="30"/>
      <c r="I126" s="30"/>
    </row>
    <row r="127" spans="2:9" x14ac:dyDescent="0.35">
      <c r="B127" s="30"/>
      <c r="C127" s="30"/>
      <c r="D127" s="30"/>
      <c r="E127" s="30"/>
      <c r="F127" s="30"/>
      <c r="G127" s="30"/>
      <c r="H127" s="30"/>
      <c r="I127" s="30"/>
    </row>
    <row r="128" spans="2:9" x14ac:dyDescent="0.35">
      <c r="B128" s="30"/>
      <c r="C128" s="30"/>
      <c r="D128" s="30"/>
      <c r="E128" s="30"/>
      <c r="F128" s="30"/>
      <c r="G128" s="30"/>
      <c r="H128" s="30"/>
      <c r="I128" s="30"/>
    </row>
    <row r="129" spans="2:9" x14ac:dyDescent="0.35">
      <c r="B129" s="30"/>
      <c r="C129" s="30"/>
      <c r="D129" s="30"/>
      <c r="E129" s="30"/>
      <c r="F129" s="30"/>
      <c r="G129" s="30"/>
      <c r="H129" s="30"/>
      <c r="I129" s="30"/>
    </row>
    <row r="130" spans="2:9" x14ac:dyDescent="0.35">
      <c r="B130" s="30"/>
      <c r="C130" s="30"/>
      <c r="D130" s="30"/>
      <c r="E130" s="30"/>
      <c r="F130" s="30"/>
      <c r="G130" s="30"/>
      <c r="H130" s="30"/>
      <c r="I130" s="30"/>
    </row>
    <row r="131" spans="2:9" x14ac:dyDescent="0.35">
      <c r="B131" s="30"/>
      <c r="C131" s="30"/>
      <c r="D131" s="30"/>
      <c r="E131" s="30"/>
      <c r="F131" s="30"/>
      <c r="G131" s="30"/>
      <c r="H131" s="30"/>
      <c r="I131" s="30"/>
    </row>
    <row r="132" spans="2:9" x14ac:dyDescent="0.35">
      <c r="B132" s="30"/>
      <c r="C132" s="30"/>
      <c r="D132" s="30"/>
      <c r="E132" s="30"/>
      <c r="F132" s="30"/>
      <c r="G132" s="30"/>
      <c r="H132" s="30"/>
      <c r="I132" s="30"/>
    </row>
    <row r="133" spans="2:9" x14ac:dyDescent="0.35">
      <c r="B133" s="30"/>
      <c r="C133" s="30"/>
      <c r="D133" s="30"/>
      <c r="E133" s="30"/>
      <c r="F133" s="30"/>
      <c r="G133" s="30"/>
      <c r="H133" s="30"/>
      <c r="I133" s="30"/>
    </row>
    <row r="134" spans="2:9" x14ac:dyDescent="0.35">
      <c r="B134" s="30"/>
      <c r="C134" s="30"/>
      <c r="D134" s="30"/>
      <c r="E134" s="30"/>
      <c r="F134" s="30"/>
      <c r="G134" s="30"/>
      <c r="H134" s="30"/>
      <c r="I134" s="30"/>
    </row>
    <row r="135" spans="2:9" x14ac:dyDescent="0.35">
      <c r="B135" s="30"/>
      <c r="C135" s="30"/>
      <c r="D135" s="30"/>
      <c r="E135" s="30"/>
      <c r="F135" s="30"/>
      <c r="G135" s="30"/>
      <c r="H135" s="30"/>
      <c r="I135" s="30"/>
    </row>
    <row r="136" spans="2:9" x14ac:dyDescent="0.35">
      <c r="B136" s="30"/>
      <c r="C136" s="30"/>
      <c r="D136" s="30"/>
      <c r="E136" s="30"/>
      <c r="F136" s="30"/>
      <c r="G136" s="30"/>
      <c r="H136" s="30"/>
      <c r="I136" s="30"/>
    </row>
    <row r="137" spans="2:9" x14ac:dyDescent="0.35">
      <c r="B137" s="30"/>
      <c r="C137" s="30"/>
      <c r="D137" s="30"/>
      <c r="E137" s="30"/>
      <c r="F137" s="30"/>
      <c r="G137" s="30"/>
      <c r="H137" s="30"/>
      <c r="I137" s="30"/>
    </row>
    <row r="138" spans="2:9" x14ac:dyDescent="0.35">
      <c r="B138" s="30"/>
      <c r="C138" s="30"/>
      <c r="D138" s="30"/>
      <c r="E138" s="30"/>
      <c r="F138" s="30"/>
      <c r="G138" s="30"/>
      <c r="H138" s="30"/>
      <c r="I138" s="30"/>
    </row>
    <row r="139" spans="2:9" x14ac:dyDescent="0.35">
      <c r="B139" s="30"/>
      <c r="C139" s="30"/>
      <c r="D139" s="30"/>
      <c r="E139" s="30"/>
      <c r="F139" s="30"/>
      <c r="G139" s="30"/>
      <c r="H139" s="30"/>
      <c r="I139" s="30"/>
    </row>
    <row r="140" spans="2:9" x14ac:dyDescent="0.35">
      <c r="B140" s="30"/>
      <c r="C140" s="30"/>
      <c r="D140" s="30"/>
      <c r="E140" s="30"/>
      <c r="F140" s="30"/>
      <c r="G140" s="30"/>
      <c r="H140" s="30"/>
      <c r="I140" s="30"/>
    </row>
    <row r="141" spans="2:9" x14ac:dyDescent="0.35">
      <c r="B141" s="30"/>
      <c r="C141" s="30"/>
      <c r="D141" s="30"/>
      <c r="E141" s="30"/>
      <c r="F141" s="30"/>
      <c r="G141" s="30"/>
      <c r="H141" s="30"/>
      <c r="I141" s="30"/>
    </row>
    <row r="142" spans="2:9" x14ac:dyDescent="0.35">
      <c r="B142" s="30"/>
      <c r="C142" s="30"/>
      <c r="D142" s="30"/>
      <c r="E142" s="30"/>
      <c r="F142" s="30"/>
      <c r="G142" s="30"/>
      <c r="H142" s="30"/>
      <c r="I142" s="30"/>
    </row>
    <row r="143" spans="2:9" x14ac:dyDescent="0.35">
      <c r="B143" s="30"/>
      <c r="C143" s="30"/>
      <c r="D143" s="30"/>
      <c r="E143" s="30"/>
      <c r="F143" s="30"/>
      <c r="G143" s="30"/>
      <c r="H143" s="30"/>
      <c r="I143" s="30"/>
    </row>
    <row r="144" spans="2:9" x14ac:dyDescent="0.35">
      <c r="B144" s="30"/>
      <c r="C144" s="30"/>
      <c r="D144" s="30"/>
      <c r="E144" s="30"/>
      <c r="F144" s="30"/>
      <c r="G144" s="30"/>
      <c r="H144" s="30"/>
      <c r="I144" s="30"/>
    </row>
    <row r="145" spans="2:9" x14ac:dyDescent="0.35">
      <c r="B145" s="30"/>
      <c r="C145" s="30"/>
      <c r="D145" s="30"/>
      <c r="E145" s="30"/>
      <c r="F145" s="30"/>
      <c r="G145" s="30"/>
      <c r="H145" s="30"/>
      <c r="I145" s="30"/>
    </row>
    <row r="146" spans="2:9" x14ac:dyDescent="0.35">
      <c r="B146" s="30"/>
      <c r="C146" s="30"/>
      <c r="D146" s="30"/>
      <c r="E146" s="30"/>
      <c r="F146" s="30"/>
      <c r="G146" s="30"/>
      <c r="H146" s="30"/>
      <c r="I146" s="30"/>
    </row>
    <row r="147" spans="2:9" x14ac:dyDescent="0.35">
      <c r="B147" s="30"/>
      <c r="C147" s="30"/>
      <c r="D147" s="30"/>
      <c r="E147" s="30"/>
      <c r="F147" s="30"/>
      <c r="G147" s="30"/>
      <c r="H147" s="30"/>
      <c r="I147" s="30"/>
    </row>
    <row r="148" spans="2:9" x14ac:dyDescent="0.35">
      <c r="B148" s="30"/>
      <c r="C148" s="30"/>
      <c r="D148" s="30"/>
      <c r="E148" s="30"/>
      <c r="F148" s="30"/>
      <c r="G148" s="30"/>
      <c r="H148" s="30"/>
      <c r="I148" s="30"/>
    </row>
    <row r="149" spans="2:9" x14ac:dyDescent="0.35">
      <c r="B149" s="30"/>
      <c r="C149" s="30"/>
      <c r="D149" s="30"/>
      <c r="E149" s="30"/>
      <c r="F149" s="30"/>
      <c r="G149" s="30"/>
      <c r="H149" s="30"/>
      <c r="I149" s="30"/>
    </row>
    <row r="150" spans="2:9" x14ac:dyDescent="0.35">
      <c r="B150" s="30"/>
      <c r="C150" s="30"/>
      <c r="D150" s="30"/>
      <c r="E150" s="30"/>
      <c r="F150" s="30"/>
      <c r="G150" s="30"/>
      <c r="H150" s="30"/>
      <c r="I150" s="30"/>
    </row>
    <row r="151" spans="2:9" x14ac:dyDescent="0.35">
      <c r="B151" s="30"/>
      <c r="C151" s="30"/>
      <c r="D151" s="30"/>
      <c r="E151" s="30"/>
      <c r="F151" s="30"/>
      <c r="G151" s="30"/>
      <c r="H151" s="30"/>
      <c r="I151" s="30"/>
    </row>
    <row r="152" spans="2:9" x14ac:dyDescent="0.35">
      <c r="B152" s="30"/>
      <c r="C152" s="30"/>
      <c r="D152" s="30"/>
      <c r="E152" s="30"/>
      <c r="F152" s="30"/>
      <c r="G152" s="30"/>
      <c r="H152" s="30"/>
      <c r="I152" s="30"/>
    </row>
    <row r="153" spans="2:9" x14ac:dyDescent="0.35">
      <c r="B153" s="30"/>
      <c r="C153" s="30"/>
      <c r="D153" s="30"/>
      <c r="E153" s="30"/>
      <c r="F153" s="30"/>
      <c r="G153" s="30"/>
      <c r="H153" s="30"/>
      <c r="I153" s="30"/>
    </row>
    <row r="154" spans="2:9" x14ac:dyDescent="0.35">
      <c r="B154" s="30"/>
      <c r="C154" s="30"/>
      <c r="D154" s="30"/>
      <c r="E154" s="30"/>
      <c r="F154" s="30"/>
      <c r="G154" s="30"/>
      <c r="H154" s="30"/>
      <c r="I154" s="30"/>
    </row>
    <row r="155" spans="2:9" x14ac:dyDescent="0.35">
      <c r="B155" s="30"/>
      <c r="C155" s="30"/>
      <c r="D155" s="30"/>
      <c r="E155" s="30"/>
      <c r="F155" s="30"/>
      <c r="G155" s="30"/>
      <c r="H155" s="30"/>
      <c r="I155" s="30"/>
    </row>
    <row r="156" spans="2:9" x14ac:dyDescent="0.35">
      <c r="B156" s="30"/>
      <c r="C156" s="30"/>
      <c r="D156" s="30"/>
      <c r="E156" s="30"/>
      <c r="F156" s="30"/>
      <c r="G156" s="30"/>
      <c r="H156" s="30"/>
      <c r="I156" s="30"/>
    </row>
    <row r="157" spans="2:9" x14ac:dyDescent="0.35">
      <c r="B157" s="30"/>
      <c r="C157" s="30"/>
      <c r="D157" s="30"/>
      <c r="E157" s="30"/>
      <c r="F157" s="30"/>
      <c r="G157" s="30"/>
      <c r="H157" s="30"/>
      <c r="I157" s="30"/>
    </row>
    <row r="158" spans="2:9" x14ac:dyDescent="0.35">
      <c r="B158" s="30"/>
      <c r="C158" s="30"/>
      <c r="D158" s="30"/>
      <c r="E158" s="30"/>
      <c r="F158" s="30"/>
      <c r="G158" s="30"/>
      <c r="H158" s="30"/>
      <c r="I158" s="30"/>
    </row>
    <row r="159" spans="2:9" x14ac:dyDescent="0.35">
      <c r="B159" s="30"/>
      <c r="C159" s="30"/>
      <c r="D159" s="30"/>
      <c r="E159" s="30"/>
      <c r="F159" s="30"/>
      <c r="G159" s="30"/>
      <c r="H159" s="30"/>
      <c r="I159" s="30"/>
    </row>
    <row r="160" spans="2:9" x14ac:dyDescent="0.35">
      <c r="B160" s="30"/>
      <c r="C160" s="30"/>
      <c r="D160" s="30"/>
      <c r="E160" s="30"/>
      <c r="F160" s="30"/>
      <c r="G160" s="30"/>
      <c r="H160" s="30"/>
      <c r="I160" s="30"/>
    </row>
    <row r="161" spans="2:9" x14ac:dyDescent="0.35">
      <c r="B161" s="30"/>
      <c r="C161" s="30"/>
      <c r="D161" s="30"/>
      <c r="E161" s="30"/>
      <c r="F161" s="30"/>
      <c r="G161" s="30"/>
      <c r="H161" s="30"/>
      <c r="I161" s="30"/>
    </row>
    <row r="162" spans="2:9" x14ac:dyDescent="0.35">
      <c r="B162" s="30"/>
      <c r="C162" s="30"/>
      <c r="D162" s="30"/>
      <c r="E162" s="30"/>
      <c r="F162" s="30"/>
      <c r="G162" s="30"/>
      <c r="H162" s="30"/>
      <c r="I162" s="30"/>
    </row>
    <row r="163" spans="2:9" x14ac:dyDescent="0.35">
      <c r="B163" s="30"/>
      <c r="C163" s="30"/>
      <c r="D163" s="30"/>
      <c r="E163" s="30"/>
      <c r="F163" s="30"/>
      <c r="G163" s="30"/>
      <c r="H163" s="30"/>
      <c r="I163" s="30"/>
    </row>
    <row r="164" spans="2:9" x14ac:dyDescent="0.35">
      <c r="B164" s="30"/>
      <c r="C164" s="30"/>
      <c r="D164" s="30"/>
      <c r="E164" s="30"/>
      <c r="F164" s="30"/>
      <c r="G164" s="30"/>
      <c r="H164" s="30"/>
      <c r="I164" s="30"/>
    </row>
    <row r="165" spans="2:9" x14ac:dyDescent="0.35">
      <c r="B165" s="30"/>
      <c r="C165" s="30"/>
      <c r="D165" s="30"/>
      <c r="E165" s="30"/>
      <c r="F165" s="30"/>
      <c r="G165" s="30"/>
      <c r="H165" s="30"/>
      <c r="I165" s="30"/>
    </row>
    <row r="166" spans="2:9" x14ac:dyDescent="0.35">
      <c r="B166" s="30"/>
      <c r="C166" s="30"/>
      <c r="D166" s="30"/>
      <c r="E166" s="30"/>
      <c r="F166" s="30"/>
      <c r="G166" s="30"/>
      <c r="H166" s="30"/>
      <c r="I166" s="30"/>
    </row>
    <row r="167" spans="2:9" x14ac:dyDescent="0.35">
      <c r="B167" s="30"/>
      <c r="C167" s="30"/>
      <c r="D167" s="30"/>
      <c r="E167" s="30"/>
      <c r="F167" s="30"/>
      <c r="G167" s="30"/>
      <c r="H167" s="30"/>
      <c r="I167" s="30"/>
    </row>
    <row r="168" spans="2:9" x14ac:dyDescent="0.35">
      <c r="B168" s="30"/>
      <c r="C168" s="30"/>
      <c r="D168" s="30"/>
      <c r="E168" s="30"/>
      <c r="F168" s="30"/>
      <c r="G168" s="30"/>
      <c r="H168" s="30"/>
      <c r="I168" s="30"/>
    </row>
    <row r="169" spans="2:9" x14ac:dyDescent="0.35">
      <c r="B169" s="30"/>
      <c r="C169" s="30"/>
      <c r="D169" s="30"/>
      <c r="E169" s="30"/>
      <c r="F169" s="30"/>
      <c r="G169" s="30"/>
      <c r="H169" s="30"/>
      <c r="I169" s="30"/>
    </row>
    <row r="170" spans="2:9" x14ac:dyDescent="0.35">
      <c r="B170" s="30"/>
      <c r="C170" s="30"/>
      <c r="D170" s="30"/>
      <c r="E170" s="30"/>
      <c r="F170" s="30"/>
      <c r="G170" s="30"/>
      <c r="H170" s="30"/>
      <c r="I170" s="30"/>
    </row>
    <row r="171" spans="2:9" x14ac:dyDescent="0.35">
      <c r="B171" s="30"/>
      <c r="C171" s="30"/>
      <c r="D171" s="30"/>
      <c r="E171" s="30"/>
      <c r="F171" s="30"/>
      <c r="G171" s="30"/>
      <c r="H171" s="30"/>
      <c r="I171" s="30"/>
    </row>
    <row r="172" spans="2:9" x14ac:dyDescent="0.35">
      <c r="B172" s="30"/>
      <c r="C172" s="30"/>
      <c r="D172" s="30"/>
      <c r="E172" s="30"/>
      <c r="F172" s="30"/>
      <c r="G172" s="30"/>
      <c r="H172" s="30"/>
      <c r="I172" s="30"/>
    </row>
    <row r="173" spans="2:9" x14ac:dyDescent="0.35">
      <c r="B173" s="30"/>
      <c r="C173" s="30"/>
      <c r="D173" s="30"/>
      <c r="E173" s="30"/>
      <c r="F173" s="30"/>
      <c r="G173" s="30"/>
      <c r="H173" s="30"/>
      <c r="I173" s="30"/>
    </row>
    <row r="174" spans="2:9" x14ac:dyDescent="0.35">
      <c r="B174" s="30"/>
      <c r="C174" s="30"/>
      <c r="D174" s="30"/>
      <c r="E174" s="30"/>
      <c r="F174" s="30"/>
      <c r="G174" s="30"/>
      <c r="H174" s="30"/>
      <c r="I174" s="30"/>
    </row>
    <row r="175" spans="2:9" x14ac:dyDescent="0.35">
      <c r="B175" s="30"/>
      <c r="C175" s="30"/>
      <c r="D175" s="30"/>
      <c r="E175" s="30"/>
      <c r="F175" s="30"/>
      <c r="G175" s="30"/>
      <c r="H175" s="30"/>
      <c r="I175" s="30"/>
    </row>
    <row r="176" spans="2:9" x14ac:dyDescent="0.35">
      <c r="B176" s="30"/>
      <c r="C176" s="30"/>
      <c r="D176" s="30"/>
      <c r="E176" s="30"/>
      <c r="F176" s="30"/>
      <c r="G176" s="30"/>
      <c r="H176" s="30"/>
      <c r="I176" s="30"/>
    </row>
    <row r="177" spans="2:9" x14ac:dyDescent="0.35">
      <c r="B177" s="30"/>
      <c r="C177" s="30"/>
      <c r="D177" s="30"/>
      <c r="E177" s="30"/>
      <c r="F177" s="30"/>
      <c r="G177" s="30"/>
      <c r="H177" s="30"/>
      <c r="I177" s="30"/>
    </row>
    <row r="178" spans="2:9" x14ac:dyDescent="0.35">
      <c r="B178" s="30"/>
      <c r="C178" s="30"/>
      <c r="D178" s="30"/>
      <c r="E178" s="30"/>
      <c r="F178" s="30"/>
      <c r="G178" s="30"/>
      <c r="H178" s="30"/>
      <c r="I178" s="30"/>
    </row>
    <row r="179" spans="2:9" x14ac:dyDescent="0.35">
      <c r="B179" s="30"/>
      <c r="C179" s="30"/>
      <c r="D179" s="30"/>
      <c r="E179" s="30"/>
      <c r="F179" s="30"/>
      <c r="G179" s="30"/>
      <c r="H179" s="30"/>
      <c r="I179" s="30"/>
    </row>
    <row r="180" spans="2:9" x14ac:dyDescent="0.35">
      <c r="B180" s="30"/>
      <c r="C180" s="30"/>
      <c r="D180" s="30"/>
      <c r="E180" s="30"/>
      <c r="F180" s="30"/>
      <c r="G180" s="30"/>
      <c r="H180" s="30"/>
      <c r="I180" s="30"/>
    </row>
    <row r="181" spans="2:9" x14ac:dyDescent="0.35">
      <c r="B181" s="30"/>
      <c r="C181" s="30"/>
      <c r="D181" s="30"/>
      <c r="E181" s="30"/>
      <c r="F181" s="30"/>
      <c r="G181" s="30"/>
      <c r="H181" s="30"/>
      <c r="I181" s="30"/>
    </row>
    <row r="182" spans="2:9" x14ac:dyDescent="0.35">
      <c r="B182" s="30"/>
      <c r="C182" s="30"/>
      <c r="D182" s="30"/>
      <c r="E182" s="30"/>
      <c r="F182" s="30"/>
      <c r="G182" s="30"/>
      <c r="H182" s="30"/>
      <c r="I182" s="30"/>
    </row>
    <row r="183" spans="2:9" x14ac:dyDescent="0.35">
      <c r="B183" s="30"/>
      <c r="C183" s="30"/>
      <c r="D183" s="30"/>
      <c r="E183" s="30"/>
      <c r="F183" s="30"/>
      <c r="G183" s="30"/>
      <c r="H183" s="30"/>
      <c r="I183" s="30"/>
    </row>
    <row r="184" spans="2:9" x14ac:dyDescent="0.35">
      <c r="B184" s="30"/>
      <c r="C184" s="30"/>
      <c r="D184" s="30"/>
      <c r="E184" s="30"/>
      <c r="F184" s="30"/>
      <c r="G184" s="30"/>
      <c r="H184" s="30"/>
      <c r="I184" s="30"/>
    </row>
    <row r="185" spans="2:9" x14ac:dyDescent="0.35">
      <c r="B185" s="30"/>
      <c r="C185" s="30"/>
      <c r="D185" s="30"/>
      <c r="E185" s="30"/>
      <c r="F185" s="30"/>
      <c r="G185" s="30"/>
      <c r="H185" s="30"/>
      <c r="I185" s="30"/>
    </row>
    <row r="186" spans="2:9" x14ac:dyDescent="0.35">
      <c r="B186" s="30"/>
      <c r="C186" s="30"/>
      <c r="D186" s="30"/>
      <c r="E186" s="30"/>
      <c r="F186" s="30"/>
      <c r="G186" s="30"/>
      <c r="H186" s="30"/>
      <c r="I186" s="30"/>
    </row>
    <row r="187" spans="2:9" x14ac:dyDescent="0.35">
      <c r="B187" s="30"/>
      <c r="C187" s="30"/>
      <c r="D187" s="30"/>
      <c r="E187" s="30"/>
      <c r="F187" s="30"/>
      <c r="G187" s="30"/>
      <c r="H187" s="30"/>
      <c r="I187" s="30"/>
    </row>
    <row r="188" spans="2:9" x14ac:dyDescent="0.35">
      <c r="B188" s="30"/>
      <c r="C188" s="30"/>
      <c r="D188" s="30"/>
      <c r="E188" s="30"/>
      <c r="F188" s="30"/>
      <c r="G188" s="30"/>
      <c r="H188" s="30"/>
      <c r="I188" s="30"/>
    </row>
    <row r="189" spans="2:9" x14ac:dyDescent="0.35">
      <c r="B189" s="30"/>
      <c r="C189" s="30"/>
      <c r="D189" s="30"/>
      <c r="E189" s="30"/>
      <c r="F189" s="30"/>
      <c r="G189" s="30"/>
      <c r="H189" s="30"/>
      <c r="I189" s="30"/>
    </row>
    <row r="190" spans="2:9" x14ac:dyDescent="0.35">
      <c r="B190" s="30"/>
      <c r="C190" s="30"/>
      <c r="D190" s="30"/>
      <c r="E190" s="30"/>
      <c r="F190" s="30"/>
      <c r="G190" s="30"/>
      <c r="H190" s="30"/>
      <c r="I190" s="30"/>
    </row>
    <row r="191" spans="2:9" x14ac:dyDescent="0.35">
      <c r="B191" s="30"/>
      <c r="C191" s="30"/>
      <c r="D191" s="30"/>
      <c r="E191" s="30"/>
      <c r="F191" s="30"/>
      <c r="G191" s="30"/>
      <c r="H191" s="30"/>
      <c r="I191" s="30"/>
    </row>
    <row r="192" spans="2:9" x14ac:dyDescent="0.35">
      <c r="B192" s="30"/>
      <c r="C192" s="30"/>
      <c r="D192" s="30"/>
      <c r="E192" s="30"/>
      <c r="F192" s="30"/>
      <c r="G192" s="30"/>
      <c r="H192" s="30"/>
      <c r="I192" s="30"/>
    </row>
    <row r="193" spans="2:9" x14ac:dyDescent="0.35">
      <c r="B193" s="30"/>
      <c r="C193" s="30"/>
      <c r="D193" s="30"/>
      <c r="E193" s="30"/>
      <c r="F193" s="30"/>
      <c r="G193" s="30"/>
      <c r="H193" s="30"/>
      <c r="I193" s="30"/>
    </row>
    <row r="194" spans="2:9" x14ac:dyDescent="0.35">
      <c r="B194" s="30"/>
      <c r="C194" s="30"/>
      <c r="D194" s="30"/>
      <c r="E194" s="30"/>
      <c r="F194" s="30"/>
      <c r="G194" s="30"/>
      <c r="H194" s="30"/>
      <c r="I194" s="30"/>
    </row>
  </sheetData>
  <printOptions horizontalCentered="1"/>
  <pageMargins left="0.7" right="0.7" top="0.75" bottom="0.75" header="0.3" footer="0.3"/>
  <pageSetup scale="51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pdfPage2">
                <anchor moveWithCells="1" sizeWithCells="1">
                  <from>
                    <xdr:col>0</xdr:col>
                    <xdr:colOff>38100</xdr:colOff>
                    <xdr:row>0</xdr:row>
                    <xdr:rowOff>19050</xdr:rowOff>
                  </from>
                  <to>
                    <xdr:col>0</xdr:col>
                    <xdr:colOff>50800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34DC2-1087-4437-A5E4-36B2A8BC345B}">
  <sheetPr transitionEvaluation="1" transitionEntry="1" codeName="Sheet25">
    <pageSetUpPr fitToPage="1"/>
  </sheetPr>
  <dimension ref="A1:AH209"/>
  <sheetViews>
    <sheetView defaultGridColor="0" colorId="22" zoomScale="87" zoomScaleNormal="87" zoomScaleSheetLayoutView="120" workbookViewId="0">
      <selection activeCell="Q1" sqref="P1:Q1048576"/>
    </sheetView>
  </sheetViews>
  <sheetFormatPr defaultColWidth="9.58203125" defaultRowHeight="20.149999999999999" customHeight="1" x14ac:dyDescent="0.35"/>
  <cols>
    <col min="1" max="1" width="40.58203125" style="150" customWidth="1"/>
    <col min="2" max="5" width="18.83203125" style="152" customWidth="1"/>
    <col min="6" max="6" width="8.08203125" style="147" customWidth="1"/>
    <col min="7" max="7" width="13.58203125" style="147" customWidth="1"/>
    <col min="8" max="8" width="5.58203125" style="147" customWidth="1"/>
    <col min="9" max="9" width="1.25" style="147" customWidth="1"/>
    <col min="10" max="16384" width="9.58203125" style="147"/>
  </cols>
  <sheetData>
    <row r="1" spans="1:34" s="142" customFormat="1" ht="18.5" x14ac:dyDescent="0.45">
      <c r="A1" s="67" t="s">
        <v>0</v>
      </c>
      <c r="B1" s="10"/>
      <c r="C1" s="93"/>
      <c r="D1" s="93"/>
      <c r="E1" s="93"/>
      <c r="F1" s="84"/>
      <c r="G1" s="42"/>
      <c r="H1" s="42"/>
      <c r="I1" s="42"/>
    </row>
    <row r="2" spans="1:34" s="142" customFormat="1" ht="18.5" x14ac:dyDescent="0.45">
      <c r="A2" s="11" t="s">
        <v>1</v>
      </c>
      <c r="B2" s="143"/>
      <c r="C2" s="93"/>
      <c r="D2" s="93"/>
      <c r="E2" s="93"/>
      <c r="F2" s="84"/>
      <c r="G2" s="42"/>
      <c r="H2" s="42"/>
      <c r="I2" s="42"/>
    </row>
    <row r="3" spans="1:34" s="144" customFormat="1" ht="18.5" x14ac:dyDescent="0.45">
      <c r="A3" s="31" t="s">
        <v>2</v>
      </c>
      <c r="B3" s="31"/>
      <c r="C3" s="67"/>
      <c r="D3" s="67"/>
      <c r="E3" s="67"/>
      <c r="F3" s="81"/>
      <c r="G3" s="81"/>
      <c r="H3" s="81"/>
      <c r="I3" s="81"/>
    </row>
    <row r="4" spans="1:34" s="144" customFormat="1" ht="55.5" x14ac:dyDescent="0.45">
      <c r="A4" s="12" t="s">
        <v>3</v>
      </c>
      <c r="B4" s="31"/>
      <c r="C4" s="67"/>
      <c r="D4" s="67"/>
      <c r="E4" s="67"/>
      <c r="F4" s="81"/>
      <c r="G4" s="81"/>
      <c r="H4" s="81"/>
      <c r="I4" s="81"/>
    </row>
    <row r="5" spans="1:34" s="144" customFormat="1" ht="55.5" x14ac:dyDescent="0.45">
      <c r="A5" s="31" t="s">
        <v>4</v>
      </c>
      <c r="B5" s="31"/>
      <c r="C5" s="67"/>
      <c r="D5" s="67"/>
      <c r="E5" s="67"/>
      <c r="F5" s="81"/>
      <c r="G5" s="81"/>
      <c r="H5" s="81"/>
      <c r="I5" s="81"/>
    </row>
    <row r="6" spans="1:34" s="145" customFormat="1" ht="46.5" x14ac:dyDescent="0.35">
      <c r="A6" s="424" t="s">
        <v>287</v>
      </c>
      <c r="B6" s="425" t="s">
        <v>288</v>
      </c>
      <c r="C6" s="423" t="s">
        <v>289</v>
      </c>
      <c r="D6" s="423" t="s">
        <v>290</v>
      </c>
      <c r="E6" s="426" t="s">
        <v>291</v>
      </c>
      <c r="F6" s="89"/>
      <c r="G6" s="89"/>
      <c r="H6" s="89"/>
      <c r="I6" s="89"/>
    </row>
    <row r="7" spans="1:34" ht="14.15" customHeight="1" x14ac:dyDescent="0.35">
      <c r="A7" s="18" t="s">
        <v>42</v>
      </c>
      <c r="B7" s="71">
        <v>777535</v>
      </c>
      <c r="C7" s="71">
        <v>33796</v>
      </c>
      <c r="D7" s="71">
        <v>811331</v>
      </c>
      <c r="E7" s="71">
        <v>770501</v>
      </c>
      <c r="F7" s="19"/>
      <c r="G7" s="19"/>
      <c r="H7" s="19" t="s">
        <v>102</v>
      </c>
      <c r="I7" s="19" t="s">
        <v>102</v>
      </c>
      <c r="J7" s="97" t="s">
        <v>102</v>
      </c>
      <c r="K7" s="146"/>
      <c r="L7" s="146"/>
      <c r="M7" s="146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</row>
    <row r="8" spans="1:34" ht="14.15" customHeight="1" x14ac:dyDescent="0.35">
      <c r="A8" s="18" t="s">
        <v>43</v>
      </c>
      <c r="B8" s="71">
        <v>761359</v>
      </c>
      <c r="C8" s="71">
        <v>46180</v>
      </c>
      <c r="D8" s="71">
        <v>807539</v>
      </c>
      <c r="E8" s="71">
        <v>781530</v>
      </c>
      <c r="F8" s="19"/>
      <c r="G8" s="19"/>
      <c r="H8" s="19" t="s">
        <v>102</v>
      </c>
      <c r="I8" s="19" t="s">
        <v>102</v>
      </c>
      <c r="J8" s="97" t="s">
        <v>102</v>
      </c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6"/>
      <c r="Y8" s="146"/>
      <c r="Z8" s="146"/>
      <c r="AA8" s="146"/>
      <c r="AB8" s="146"/>
      <c r="AC8" s="146"/>
      <c r="AD8" s="146"/>
      <c r="AE8" s="146"/>
      <c r="AF8" s="146"/>
      <c r="AG8" s="146"/>
      <c r="AH8" s="146"/>
    </row>
    <row r="9" spans="1:34" ht="14.15" customHeight="1" x14ac:dyDescent="0.35">
      <c r="A9" s="18" t="s">
        <v>44</v>
      </c>
      <c r="B9" s="71">
        <v>684499</v>
      </c>
      <c r="C9" s="71">
        <v>43891</v>
      </c>
      <c r="D9" s="71">
        <v>728390</v>
      </c>
      <c r="E9" s="71">
        <v>677512</v>
      </c>
      <c r="F9" s="19"/>
      <c r="G9" s="19"/>
      <c r="H9" s="19" t="s">
        <v>102</v>
      </c>
      <c r="I9" s="19" t="s">
        <v>102</v>
      </c>
      <c r="J9" s="97" t="s">
        <v>102</v>
      </c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6"/>
      <c r="W9" s="146"/>
      <c r="X9" s="146"/>
      <c r="Y9" s="146"/>
      <c r="Z9" s="146"/>
      <c r="AA9" s="146"/>
      <c r="AB9" s="146"/>
      <c r="AC9" s="146"/>
      <c r="AD9" s="146"/>
      <c r="AE9" s="146"/>
      <c r="AF9" s="146"/>
      <c r="AG9" s="146"/>
      <c r="AH9" s="146"/>
    </row>
    <row r="10" spans="1:34" ht="14.15" customHeight="1" x14ac:dyDescent="0.35">
      <c r="A10" s="18" t="s">
        <v>45</v>
      </c>
      <c r="B10" s="71">
        <v>776992</v>
      </c>
      <c r="C10" s="71">
        <v>43310</v>
      </c>
      <c r="D10" s="71">
        <v>820302</v>
      </c>
      <c r="E10" s="71">
        <v>771358</v>
      </c>
      <c r="F10" s="19"/>
      <c r="G10" s="19"/>
      <c r="H10" s="19" t="s">
        <v>102</v>
      </c>
      <c r="I10" s="19" t="s">
        <v>102</v>
      </c>
      <c r="J10" s="97" t="s">
        <v>102</v>
      </c>
      <c r="K10" s="146"/>
      <c r="L10" s="146"/>
      <c r="M10" s="146"/>
      <c r="N10" s="146"/>
      <c r="O10" s="146"/>
      <c r="P10" s="146"/>
      <c r="Q10" s="146"/>
      <c r="R10" s="146"/>
      <c r="S10" s="146"/>
      <c r="T10" s="146"/>
      <c r="U10" s="146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</row>
    <row r="11" spans="1:34" ht="14.15" customHeight="1" x14ac:dyDescent="0.35">
      <c r="A11" s="18" t="s">
        <v>46</v>
      </c>
      <c r="B11" s="71">
        <v>699869</v>
      </c>
      <c r="C11" s="71">
        <v>43366</v>
      </c>
      <c r="D11" s="71">
        <v>743235</v>
      </c>
      <c r="E11" s="71">
        <v>692612</v>
      </c>
      <c r="F11" s="19"/>
      <c r="G11" s="19"/>
      <c r="H11" s="19" t="s">
        <v>102</v>
      </c>
      <c r="I11" s="19" t="s">
        <v>102</v>
      </c>
      <c r="J11" s="97" t="s">
        <v>102</v>
      </c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6"/>
      <c r="W11" s="146"/>
      <c r="X11" s="146"/>
      <c r="Y11" s="146"/>
      <c r="Z11" s="146"/>
      <c r="AA11" s="146"/>
      <c r="AB11" s="146"/>
      <c r="AC11" s="146"/>
      <c r="AD11" s="146"/>
      <c r="AE11" s="146"/>
      <c r="AF11" s="146"/>
      <c r="AG11" s="146"/>
      <c r="AH11" s="146"/>
    </row>
    <row r="12" spans="1:34" ht="14.15" customHeight="1" x14ac:dyDescent="0.35">
      <c r="A12" s="18" t="s">
        <v>47</v>
      </c>
      <c r="B12" s="71">
        <v>685755</v>
      </c>
      <c r="C12" s="71">
        <v>43404</v>
      </c>
      <c r="D12" s="71">
        <v>729159</v>
      </c>
      <c r="E12" s="71">
        <v>681039</v>
      </c>
      <c r="F12" s="19"/>
      <c r="G12" s="19"/>
      <c r="H12" s="19" t="s">
        <v>102</v>
      </c>
      <c r="I12" s="19" t="s">
        <v>102</v>
      </c>
      <c r="J12" s="97" t="s">
        <v>102</v>
      </c>
      <c r="K12" s="146"/>
      <c r="L12" s="146"/>
      <c r="M12" s="146"/>
      <c r="N12" s="146"/>
      <c r="O12" s="146"/>
      <c r="P12" s="146"/>
      <c r="Q12" s="146"/>
      <c r="R12" s="146"/>
      <c r="S12" s="146"/>
      <c r="T12" s="146"/>
      <c r="U12" s="146"/>
      <c r="V12" s="146"/>
      <c r="W12" s="146"/>
      <c r="X12" s="146"/>
      <c r="Y12" s="146"/>
      <c r="Z12" s="146"/>
      <c r="AA12" s="146"/>
      <c r="AB12" s="146"/>
      <c r="AC12" s="146"/>
      <c r="AD12" s="146"/>
      <c r="AE12" s="146"/>
      <c r="AF12" s="146"/>
      <c r="AG12" s="146"/>
      <c r="AH12" s="146"/>
    </row>
    <row r="13" spans="1:34" ht="14.15" customHeight="1" x14ac:dyDescent="0.35">
      <c r="A13" s="18" t="s">
        <v>48</v>
      </c>
      <c r="B13" s="71">
        <v>631466</v>
      </c>
      <c r="C13" s="71">
        <v>42072</v>
      </c>
      <c r="D13" s="71">
        <v>673538</v>
      </c>
      <c r="E13" s="71">
        <v>630413</v>
      </c>
      <c r="F13" s="19"/>
      <c r="G13" s="19"/>
      <c r="H13" s="19" t="s">
        <v>102</v>
      </c>
      <c r="I13" s="19" t="s">
        <v>102</v>
      </c>
      <c r="J13" s="97" t="s">
        <v>102</v>
      </c>
      <c r="K13" s="146"/>
      <c r="L13" s="146"/>
      <c r="M13" s="146"/>
      <c r="N13" s="146"/>
      <c r="O13" s="146"/>
      <c r="P13" s="146"/>
      <c r="Q13" s="146"/>
      <c r="R13" s="146"/>
      <c r="S13" s="146"/>
      <c r="T13" s="146"/>
      <c r="U13" s="146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</row>
    <row r="14" spans="1:34" ht="14.15" customHeight="1" x14ac:dyDescent="0.35">
      <c r="A14" s="18" t="s">
        <v>49</v>
      </c>
      <c r="B14" s="71">
        <v>580657</v>
      </c>
      <c r="C14" s="71">
        <v>42043</v>
      </c>
      <c r="D14" s="71">
        <v>622700</v>
      </c>
      <c r="E14" s="71">
        <v>584609</v>
      </c>
      <c r="F14" s="19"/>
      <c r="G14" s="19"/>
      <c r="H14" s="19" t="s">
        <v>102</v>
      </c>
      <c r="I14" s="19" t="s">
        <v>102</v>
      </c>
      <c r="J14" s="97" t="s">
        <v>102</v>
      </c>
      <c r="K14" s="146"/>
      <c r="L14" s="146"/>
      <c r="M14" s="146"/>
      <c r="N14" s="146"/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Z14" s="146"/>
      <c r="AA14" s="146"/>
      <c r="AB14" s="146"/>
      <c r="AC14" s="146"/>
      <c r="AD14" s="146"/>
      <c r="AE14" s="146"/>
      <c r="AF14" s="146"/>
      <c r="AG14" s="146"/>
      <c r="AH14" s="146"/>
    </row>
    <row r="15" spans="1:34" ht="14.15" customHeight="1" x14ac:dyDescent="0.35">
      <c r="A15" s="18" t="s">
        <v>50</v>
      </c>
      <c r="B15" s="71">
        <v>611832</v>
      </c>
      <c r="C15" s="71">
        <v>42053</v>
      </c>
      <c r="D15" s="71">
        <v>653885</v>
      </c>
      <c r="E15" s="71">
        <v>603057</v>
      </c>
      <c r="F15" s="19"/>
      <c r="G15" s="19"/>
      <c r="H15" s="19" t="s">
        <v>102</v>
      </c>
      <c r="I15" s="19" t="s">
        <v>102</v>
      </c>
      <c r="J15" s="97" t="s">
        <v>102</v>
      </c>
      <c r="K15" s="146"/>
      <c r="L15" s="146"/>
      <c r="M15" s="146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Z15" s="146"/>
      <c r="AA15" s="146"/>
      <c r="AB15" s="146"/>
      <c r="AC15" s="146"/>
      <c r="AD15" s="146"/>
      <c r="AE15" s="146"/>
      <c r="AF15" s="146"/>
      <c r="AG15" s="146"/>
      <c r="AH15" s="146"/>
    </row>
    <row r="16" spans="1:34" ht="14.15" customHeight="1" x14ac:dyDescent="0.35">
      <c r="A16" s="18" t="s">
        <v>51</v>
      </c>
      <c r="B16" s="71">
        <v>625571</v>
      </c>
      <c r="C16" s="71">
        <v>42041</v>
      </c>
      <c r="D16" s="71">
        <v>667612</v>
      </c>
      <c r="E16" s="71">
        <v>611195</v>
      </c>
      <c r="F16" s="19"/>
      <c r="G16" s="19"/>
      <c r="H16" s="19" t="s">
        <v>102</v>
      </c>
      <c r="I16" s="19" t="s">
        <v>102</v>
      </c>
      <c r="J16" s="146" t="s">
        <v>102</v>
      </c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</row>
    <row r="17" spans="1:34" ht="14.15" customHeight="1" x14ac:dyDescent="0.35">
      <c r="A17" s="18" t="s">
        <v>52</v>
      </c>
      <c r="B17" s="71">
        <v>549220</v>
      </c>
      <c r="C17" s="71">
        <v>32645</v>
      </c>
      <c r="D17" s="71">
        <v>581865</v>
      </c>
      <c r="E17" s="71">
        <v>538515</v>
      </c>
      <c r="F17" s="19"/>
      <c r="G17" s="19"/>
      <c r="H17" s="19" t="s">
        <v>102</v>
      </c>
      <c r="I17" s="19" t="s">
        <v>102</v>
      </c>
      <c r="J17" s="97" t="s">
        <v>102</v>
      </c>
      <c r="K17" s="146"/>
      <c r="L17" s="146"/>
      <c r="M17" s="146"/>
      <c r="N17" s="146"/>
      <c r="O17" s="146"/>
      <c r="P17" s="146"/>
      <c r="Q17" s="146"/>
      <c r="R17" s="146"/>
      <c r="S17" s="146"/>
      <c r="T17" s="146"/>
      <c r="U17" s="146"/>
      <c r="V17" s="146"/>
      <c r="W17" s="146"/>
      <c r="X17" s="146"/>
      <c r="Y17" s="146"/>
      <c r="Z17" s="146"/>
      <c r="AA17" s="146"/>
      <c r="AB17" s="146"/>
      <c r="AC17" s="146"/>
      <c r="AD17" s="146"/>
      <c r="AE17" s="146"/>
      <c r="AF17" s="146"/>
      <c r="AG17" s="146"/>
      <c r="AH17" s="146"/>
    </row>
    <row r="18" spans="1:34" ht="14.15" customHeight="1" x14ac:dyDescent="0.35">
      <c r="A18" s="18" t="s">
        <v>53</v>
      </c>
      <c r="B18" s="71">
        <v>480471</v>
      </c>
      <c r="C18" s="71">
        <v>32500</v>
      </c>
      <c r="D18" s="71">
        <v>512971</v>
      </c>
      <c r="E18" s="71">
        <v>473245</v>
      </c>
      <c r="F18" s="19"/>
      <c r="G18" s="19"/>
      <c r="H18" s="19" t="s">
        <v>102</v>
      </c>
      <c r="I18" s="19" t="s">
        <v>102</v>
      </c>
      <c r="J18" s="97" t="s">
        <v>102</v>
      </c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46"/>
      <c r="AA18" s="146"/>
      <c r="AB18" s="146"/>
      <c r="AC18" s="146"/>
      <c r="AD18" s="146"/>
      <c r="AE18" s="146"/>
      <c r="AF18" s="146"/>
      <c r="AG18" s="146"/>
      <c r="AH18" s="146"/>
    </row>
    <row r="19" spans="1:34" ht="14.15" customHeight="1" x14ac:dyDescent="0.35">
      <c r="A19" s="18" t="s">
        <v>54</v>
      </c>
      <c r="B19" s="71">
        <v>569805</v>
      </c>
      <c r="C19" s="71">
        <v>42279</v>
      </c>
      <c r="D19" s="71">
        <v>612084</v>
      </c>
      <c r="E19" s="71">
        <v>565523</v>
      </c>
      <c r="F19" s="19"/>
      <c r="G19" s="19"/>
      <c r="H19" s="19" t="s">
        <v>102</v>
      </c>
      <c r="I19" s="19" t="s">
        <v>102</v>
      </c>
      <c r="J19" s="97" t="s">
        <v>102</v>
      </c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46"/>
      <c r="AA19" s="146"/>
      <c r="AB19" s="146"/>
      <c r="AC19" s="146"/>
      <c r="AD19" s="146"/>
      <c r="AE19" s="146"/>
      <c r="AF19" s="146"/>
      <c r="AG19" s="146"/>
      <c r="AH19" s="146"/>
    </row>
    <row r="20" spans="1:34" ht="14.15" customHeight="1" x14ac:dyDescent="0.35">
      <c r="A20" s="18" t="s">
        <v>55</v>
      </c>
      <c r="B20" s="71">
        <v>520175</v>
      </c>
      <c r="C20" s="71">
        <v>41724</v>
      </c>
      <c r="D20" s="71">
        <v>561899</v>
      </c>
      <c r="E20" s="71">
        <v>517721</v>
      </c>
      <c r="F20" s="19"/>
      <c r="G20" s="19"/>
      <c r="H20" s="19" t="s">
        <v>102</v>
      </c>
      <c r="I20" s="19" t="s">
        <v>102</v>
      </c>
      <c r="J20" s="97" t="s">
        <v>102</v>
      </c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46"/>
      <c r="AA20" s="146"/>
      <c r="AB20" s="146"/>
      <c r="AC20" s="146"/>
      <c r="AD20" s="146"/>
      <c r="AE20" s="146"/>
      <c r="AF20" s="146"/>
      <c r="AG20" s="146"/>
      <c r="AH20" s="146"/>
    </row>
    <row r="21" spans="1:34" ht="14.15" customHeight="1" x14ac:dyDescent="0.35">
      <c r="A21" s="18" t="s">
        <v>56</v>
      </c>
      <c r="B21" s="71">
        <v>642899</v>
      </c>
      <c r="C21" s="71">
        <v>24920</v>
      </c>
      <c r="D21" s="71">
        <v>667819</v>
      </c>
      <c r="E21" s="71">
        <v>611782</v>
      </c>
      <c r="F21" s="19"/>
      <c r="G21" s="19"/>
      <c r="H21" s="19" t="s">
        <v>102</v>
      </c>
      <c r="I21" s="19" t="s">
        <v>102</v>
      </c>
      <c r="J21" s="97" t="s">
        <v>102</v>
      </c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46"/>
      <c r="AA21" s="146"/>
      <c r="AB21" s="146"/>
      <c r="AC21" s="146"/>
      <c r="AD21" s="146"/>
      <c r="AE21" s="146"/>
      <c r="AF21" s="146"/>
      <c r="AG21" s="146"/>
      <c r="AH21" s="146"/>
    </row>
    <row r="22" spans="1:34" ht="14.15" customHeight="1" x14ac:dyDescent="0.35">
      <c r="A22" s="18" t="s">
        <v>57</v>
      </c>
      <c r="B22" s="71">
        <v>730360</v>
      </c>
      <c r="C22" s="71">
        <v>49647</v>
      </c>
      <c r="D22" s="71">
        <v>780007</v>
      </c>
      <c r="E22" s="71">
        <v>714238</v>
      </c>
      <c r="F22" s="19"/>
      <c r="G22" s="19"/>
      <c r="H22" s="19" t="s">
        <v>102</v>
      </c>
      <c r="I22" s="19" t="s">
        <v>102</v>
      </c>
      <c r="J22" s="97" t="s">
        <v>102</v>
      </c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46"/>
      <c r="AA22" s="146"/>
      <c r="AB22" s="146"/>
      <c r="AC22" s="146"/>
      <c r="AD22" s="146"/>
      <c r="AE22" s="146"/>
      <c r="AF22" s="146"/>
      <c r="AG22" s="146"/>
      <c r="AH22" s="146"/>
    </row>
    <row r="23" spans="1:34" ht="14.15" customHeight="1" x14ac:dyDescent="0.35">
      <c r="A23" s="18" t="s">
        <v>58</v>
      </c>
      <c r="B23" s="71">
        <v>359929</v>
      </c>
      <c r="C23" s="71">
        <v>37699</v>
      </c>
      <c r="D23" s="71">
        <v>397628</v>
      </c>
      <c r="E23" s="71">
        <v>361240</v>
      </c>
      <c r="F23" s="19"/>
      <c r="G23" s="19"/>
      <c r="H23" s="19" t="s">
        <v>102</v>
      </c>
      <c r="I23" s="19" t="s">
        <v>102</v>
      </c>
      <c r="J23" s="97" t="s">
        <v>102</v>
      </c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6"/>
      <c r="AB23" s="146"/>
      <c r="AC23" s="146"/>
      <c r="AD23" s="146"/>
      <c r="AE23" s="146"/>
      <c r="AF23" s="146"/>
      <c r="AG23" s="146"/>
      <c r="AH23" s="146"/>
    </row>
    <row r="24" spans="1:34" ht="14.15" customHeight="1" x14ac:dyDescent="0.35">
      <c r="A24" s="18" t="s">
        <v>59</v>
      </c>
      <c r="B24" s="71">
        <v>590678</v>
      </c>
      <c r="C24" s="71">
        <v>12455</v>
      </c>
      <c r="D24" s="71">
        <v>603133</v>
      </c>
      <c r="E24" s="71">
        <v>545749</v>
      </c>
      <c r="F24" s="19"/>
      <c r="G24" s="19"/>
      <c r="H24" s="19" t="s">
        <v>102</v>
      </c>
      <c r="I24" s="19" t="s">
        <v>102</v>
      </c>
      <c r="J24" s="97" t="s">
        <v>102</v>
      </c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</row>
    <row r="25" spans="1:34" ht="14.15" customHeight="1" x14ac:dyDescent="0.35">
      <c r="A25" s="18" t="s">
        <v>111</v>
      </c>
      <c r="B25" s="71">
        <v>655805</v>
      </c>
      <c r="C25" s="71">
        <v>36801</v>
      </c>
      <c r="D25" s="71">
        <v>692606</v>
      </c>
      <c r="E25" s="71">
        <v>636420</v>
      </c>
      <c r="F25" s="19"/>
      <c r="G25" s="19"/>
      <c r="H25" s="19"/>
      <c r="I25" s="19"/>
      <c r="J25" s="97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</row>
    <row r="26" spans="1:34" ht="14.15" customHeight="1" x14ac:dyDescent="0.35">
      <c r="A26" s="18" t="s">
        <v>60</v>
      </c>
      <c r="B26" s="71">
        <v>686333</v>
      </c>
      <c r="C26" s="71">
        <v>38660</v>
      </c>
      <c r="D26" s="71">
        <v>724993</v>
      </c>
      <c r="E26" s="71">
        <v>651993</v>
      </c>
      <c r="F26" s="19"/>
      <c r="G26" s="19"/>
      <c r="H26" s="19" t="s">
        <v>102</v>
      </c>
      <c r="I26" s="19" t="s">
        <v>102</v>
      </c>
      <c r="J26" s="97" t="s">
        <v>102</v>
      </c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</row>
    <row r="27" spans="1:34" ht="14.15" customHeight="1" x14ac:dyDescent="0.35">
      <c r="A27" s="25" t="s">
        <v>61</v>
      </c>
      <c r="B27" s="71">
        <v>640819</v>
      </c>
      <c r="C27" s="71">
        <v>38826</v>
      </c>
      <c r="D27" s="71">
        <v>679645</v>
      </c>
      <c r="E27" s="71">
        <v>615706.71697999991</v>
      </c>
      <c r="F27" s="19"/>
      <c r="G27" s="19"/>
      <c r="H27" s="19" t="s">
        <v>102</v>
      </c>
      <c r="I27" s="19" t="s">
        <v>102</v>
      </c>
      <c r="J27" s="97" t="s">
        <v>102</v>
      </c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</row>
    <row r="28" spans="1:34" ht="14.15" customHeight="1" x14ac:dyDescent="0.35">
      <c r="A28" s="18" t="s">
        <v>62</v>
      </c>
      <c r="B28" s="71">
        <v>638207</v>
      </c>
      <c r="C28" s="71">
        <v>38120</v>
      </c>
      <c r="D28" s="71">
        <v>676327</v>
      </c>
      <c r="E28" s="71">
        <v>618223.07110300008</v>
      </c>
      <c r="F28" s="19"/>
      <c r="G28" s="19"/>
      <c r="H28" s="19" t="s">
        <v>102</v>
      </c>
      <c r="I28" s="19" t="s">
        <v>102</v>
      </c>
      <c r="J28" s="97" t="s">
        <v>102</v>
      </c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</row>
    <row r="29" spans="1:34" ht="14.15" customHeight="1" x14ac:dyDescent="0.35">
      <c r="A29" s="25" t="s">
        <v>63</v>
      </c>
      <c r="B29" s="71">
        <v>657943</v>
      </c>
      <c r="C29" s="71">
        <v>39235</v>
      </c>
      <c r="D29" s="71">
        <v>697178</v>
      </c>
      <c r="E29" s="71">
        <v>637542.78823599999</v>
      </c>
      <c r="F29" s="19"/>
      <c r="G29" s="19"/>
      <c r="H29" s="19" t="s">
        <v>102</v>
      </c>
      <c r="I29" s="19" t="s">
        <v>102</v>
      </c>
      <c r="J29" s="97" t="s">
        <v>102</v>
      </c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</row>
    <row r="30" spans="1:34" ht="14.15" customHeight="1" x14ac:dyDescent="0.35">
      <c r="A30" s="25" t="s">
        <v>64</v>
      </c>
      <c r="B30" s="71">
        <v>658593</v>
      </c>
      <c r="C30" s="71">
        <v>38834</v>
      </c>
      <c r="D30" s="71">
        <v>697427</v>
      </c>
      <c r="E30" s="71">
        <v>632235.01117499999</v>
      </c>
      <c r="F30" s="19"/>
      <c r="G30" s="19"/>
      <c r="H30" s="19" t="s">
        <v>102</v>
      </c>
      <c r="I30" s="19" t="s">
        <v>102</v>
      </c>
      <c r="J30" s="97" t="s">
        <v>102</v>
      </c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</row>
    <row r="31" spans="1:34" ht="14.15" customHeight="1" x14ac:dyDescent="0.35">
      <c r="A31" s="25" t="s">
        <v>65</v>
      </c>
      <c r="B31" s="71">
        <v>692488</v>
      </c>
      <c r="C31" s="71">
        <v>34190</v>
      </c>
      <c r="D31" s="71">
        <v>726678</v>
      </c>
      <c r="E31" s="71">
        <v>666918.90799199999</v>
      </c>
      <c r="F31" s="19"/>
      <c r="G31" s="19"/>
      <c r="H31" s="19" t="s">
        <v>102</v>
      </c>
      <c r="I31" s="19" t="s">
        <v>102</v>
      </c>
      <c r="J31" s="97" t="s">
        <v>102</v>
      </c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</row>
    <row r="32" spans="1:34" ht="14.15" customHeight="1" x14ac:dyDescent="0.35">
      <c r="A32" s="25" t="s">
        <v>66</v>
      </c>
      <c r="B32" s="71">
        <v>658229</v>
      </c>
      <c r="C32" s="71">
        <v>37418</v>
      </c>
      <c r="D32" s="71">
        <v>695647</v>
      </c>
      <c r="E32" s="71">
        <v>636436.30994800001</v>
      </c>
      <c r="F32" s="19"/>
      <c r="G32" s="19"/>
      <c r="H32" s="19" t="s">
        <v>102</v>
      </c>
      <c r="I32" s="19" t="s">
        <v>102</v>
      </c>
      <c r="J32" s="97" t="s">
        <v>102</v>
      </c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</row>
    <row r="33" spans="1:34" ht="14.15" customHeight="1" x14ac:dyDescent="0.35">
      <c r="A33" s="18" t="s">
        <v>67</v>
      </c>
      <c r="B33" s="71">
        <v>631822</v>
      </c>
      <c r="C33" s="71">
        <v>37188</v>
      </c>
      <c r="D33" s="71">
        <v>669010</v>
      </c>
      <c r="E33" s="71">
        <v>613993.29364000005</v>
      </c>
      <c r="F33" s="19"/>
      <c r="G33" s="19"/>
      <c r="H33" s="19" t="s">
        <v>102</v>
      </c>
      <c r="I33" s="19" t="s">
        <v>102</v>
      </c>
      <c r="J33" s="97" t="s">
        <v>102</v>
      </c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</row>
    <row r="34" spans="1:34" ht="14.15" customHeight="1" x14ac:dyDescent="0.35">
      <c r="A34" s="18" t="s">
        <v>68</v>
      </c>
      <c r="B34" s="71">
        <v>595692</v>
      </c>
      <c r="C34" s="71">
        <v>37710</v>
      </c>
      <c r="D34" s="71">
        <v>633402</v>
      </c>
      <c r="E34" s="71">
        <v>582190.18149600003</v>
      </c>
      <c r="F34" s="19"/>
      <c r="G34" s="19"/>
      <c r="H34" s="19" t="s">
        <v>102</v>
      </c>
      <c r="I34" s="19" t="s">
        <v>102</v>
      </c>
      <c r="J34" s="97" t="s">
        <v>102</v>
      </c>
      <c r="K34" s="146"/>
      <c r="L34" s="146"/>
      <c r="M34" s="146"/>
      <c r="N34" s="146"/>
      <c r="O34" s="146"/>
      <c r="P34" s="146"/>
      <c r="Q34" s="146"/>
      <c r="R34" s="146"/>
      <c r="S34" s="146"/>
      <c r="T34" s="146"/>
      <c r="U34" s="146"/>
      <c r="V34" s="146"/>
      <c r="W34" s="146"/>
      <c r="X34" s="146"/>
      <c r="Y34" s="146"/>
      <c r="Z34" s="146"/>
      <c r="AA34" s="146"/>
      <c r="AB34" s="146"/>
      <c r="AC34" s="146"/>
      <c r="AD34" s="146"/>
      <c r="AE34" s="146"/>
      <c r="AF34" s="146"/>
      <c r="AG34" s="146"/>
      <c r="AH34" s="146"/>
    </row>
    <row r="35" spans="1:34" ht="14.15" customHeight="1" x14ac:dyDescent="0.35">
      <c r="A35" s="18" t="s">
        <v>69</v>
      </c>
      <c r="B35" s="71">
        <v>587073</v>
      </c>
      <c r="C35" s="71">
        <v>28072</v>
      </c>
      <c r="D35" s="71">
        <v>615145</v>
      </c>
      <c r="E35" s="71">
        <v>565567.38872499997</v>
      </c>
      <c r="F35" s="19"/>
      <c r="G35" s="19"/>
      <c r="H35" s="19" t="s">
        <v>102</v>
      </c>
      <c r="I35" s="19" t="s">
        <v>102</v>
      </c>
      <c r="J35" s="97" t="s">
        <v>102</v>
      </c>
      <c r="K35" s="146"/>
      <c r="L35" s="146"/>
      <c r="M35" s="146"/>
      <c r="N35" s="146"/>
      <c r="O35" s="146"/>
      <c r="P35" s="146"/>
      <c r="Q35" s="146"/>
      <c r="R35" s="146"/>
      <c r="S35" s="146"/>
      <c r="T35" s="146"/>
      <c r="U35" s="146"/>
      <c r="V35" s="146"/>
      <c r="W35" s="146"/>
      <c r="X35" s="146"/>
      <c r="Y35" s="146"/>
      <c r="Z35" s="146"/>
      <c r="AA35" s="146"/>
      <c r="AB35" s="146"/>
      <c r="AC35" s="146"/>
      <c r="AD35" s="146"/>
      <c r="AE35" s="146"/>
      <c r="AF35" s="146"/>
      <c r="AG35" s="146"/>
      <c r="AH35" s="146"/>
    </row>
    <row r="36" spans="1:34" ht="14.15" customHeight="1" x14ac:dyDescent="0.35">
      <c r="A36" s="18" t="s">
        <v>70</v>
      </c>
      <c r="B36" s="71">
        <v>612866</v>
      </c>
      <c r="C36" s="71">
        <v>33089</v>
      </c>
      <c r="D36" s="71">
        <v>645955</v>
      </c>
      <c r="E36" s="71">
        <v>594331.56831</v>
      </c>
      <c r="F36" s="19"/>
      <c r="G36" s="19"/>
      <c r="H36" s="19" t="s">
        <v>102</v>
      </c>
      <c r="I36" s="19" t="s">
        <v>102</v>
      </c>
      <c r="J36" s="97" t="s">
        <v>102</v>
      </c>
      <c r="K36" s="146"/>
      <c r="L36" s="146"/>
      <c r="M36" s="146"/>
      <c r="N36" s="146"/>
      <c r="O36" s="146"/>
      <c r="P36" s="146"/>
      <c r="Q36" s="146"/>
      <c r="R36" s="146"/>
      <c r="S36" s="146"/>
      <c r="T36" s="146"/>
      <c r="U36" s="146"/>
      <c r="V36" s="146"/>
      <c r="W36" s="146"/>
      <c r="X36" s="146"/>
      <c r="Y36" s="146"/>
      <c r="Z36" s="146"/>
      <c r="AA36" s="146"/>
      <c r="AB36" s="146"/>
      <c r="AC36" s="146"/>
      <c r="AD36" s="146"/>
      <c r="AE36" s="146"/>
      <c r="AF36" s="146"/>
      <c r="AG36" s="146"/>
      <c r="AH36" s="146"/>
    </row>
    <row r="37" spans="1:34" ht="14.15" customHeight="1" x14ac:dyDescent="0.35">
      <c r="A37" s="18" t="s">
        <v>71</v>
      </c>
      <c r="B37" s="71">
        <v>648350</v>
      </c>
      <c r="C37" s="71">
        <v>27184</v>
      </c>
      <c r="D37" s="71">
        <v>675534</v>
      </c>
      <c r="E37" s="71">
        <v>619008.69254999992</v>
      </c>
      <c r="F37" s="19"/>
      <c r="G37" s="19"/>
      <c r="H37" s="19" t="s">
        <v>102</v>
      </c>
      <c r="I37" s="19" t="s">
        <v>102</v>
      </c>
      <c r="J37" s="97" t="s">
        <v>102</v>
      </c>
      <c r="K37" s="146"/>
      <c r="L37" s="146"/>
      <c r="M37" s="146"/>
      <c r="N37" s="146"/>
      <c r="O37" s="146"/>
      <c r="P37" s="146"/>
      <c r="Q37" s="146"/>
      <c r="R37" s="146"/>
      <c r="S37" s="146"/>
      <c r="T37" s="146"/>
      <c r="U37" s="146"/>
      <c r="V37" s="146"/>
      <c r="W37" s="146"/>
      <c r="X37" s="146"/>
      <c r="Y37" s="146"/>
      <c r="Z37" s="146"/>
      <c r="AA37" s="146"/>
      <c r="AB37" s="146"/>
      <c r="AC37" s="146"/>
      <c r="AD37" s="146"/>
      <c r="AE37" s="146"/>
      <c r="AF37" s="146"/>
      <c r="AG37" s="146"/>
      <c r="AH37" s="146"/>
    </row>
    <row r="38" spans="1:34" ht="14.15" customHeight="1" x14ac:dyDescent="0.35">
      <c r="A38" s="18" t="s">
        <v>72</v>
      </c>
      <c r="B38" s="71">
        <v>652015</v>
      </c>
      <c r="C38" s="71">
        <v>38784</v>
      </c>
      <c r="D38" s="71">
        <v>690799</v>
      </c>
      <c r="E38" s="71">
        <v>630496.39209400001</v>
      </c>
      <c r="F38" s="19"/>
      <c r="G38" s="19"/>
      <c r="H38" s="19" t="s">
        <v>102</v>
      </c>
      <c r="I38" s="19" t="s">
        <v>102</v>
      </c>
      <c r="J38" s="97" t="s">
        <v>102</v>
      </c>
      <c r="K38" s="146"/>
      <c r="L38" s="146"/>
      <c r="M38" s="146"/>
      <c r="N38" s="146"/>
      <c r="O38" s="146"/>
      <c r="P38" s="146"/>
      <c r="Q38" s="146"/>
      <c r="R38" s="146"/>
      <c r="S38" s="146"/>
      <c r="T38" s="146"/>
      <c r="U38" s="146"/>
      <c r="V38" s="146"/>
      <c r="W38" s="146"/>
      <c r="X38" s="146"/>
      <c r="Y38" s="146"/>
      <c r="Z38" s="146"/>
      <c r="AA38" s="146"/>
      <c r="AB38" s="146"/>
      <c r="AC38" s="146"/>
      <c r="AD38" s="146"/>
      <c r="AE38" s="146"/>
      <c r="AF38" s="146"/>
      <c r="AG38" s="146"/>
      <c r="AH38" s="146"/>
    </row>
    <row r="39" spans="1:34" ht="14.15" customHeight="1" x14ac:dyDescent="0.35">
      <c r="A39" s="18" t="s">
        <v>73</v>
      </c>
      <c r="B39" s="71">
        <v>621825</v>
      </c>
      <c r="C39" s="71">
        <v>40573</v>
      </c>
      <c r="D39" s="71">
        <v>662398</v>
      </c>
      <c r="E39" s="71">
        <v>606166.37138199992</v>
      </c>
      <c r="F39" s="19"/>
      <c r="G39" s="148"/>
      <c r="H39" s="19" t="s">
        <v>102</v>
      </c>
      <c r="I39" s="19" t="s">
        <v>102</v>
      </c>
      <c r="J39" s="97" t="s">
        <v>102</v>
      </c>
      <c r="K39" s="146"/>
      <c r="L39" s="146"/>
      <c r="M39" s="146"/>
      <c r="N39" s="146"/>
      <c r="O39" s="146"/>
      <c r="P39" s="146"/>
      <c r="Q39" s="146"/>
      <c r="R39" s="146"/>
      <c r="S39" s="146"/>
      <c r="T39" s="146"/>
      <c r="U39" s="146"/>
      <c r="V39" s="146"/>
      <c r="W39" s="146"/>
      <c r="X39" s="146"/>
      <c r="Y39" s="146"/>
      <c r="Z39" s="146"/>
      <c r="AA39" s="146"/>
      <c r="AB39" s="146"/>
      <c r="AC39" s="146"/>
      <c r="AD39" s="146"/>
      <c r="AE39" s="146"/>
      <c r="AF39" s="146"/>
      <c r="AG39" s="146"/>
      <c r="AH39" s="146"/>
    </row>
    <row r="40" spans="1:34" ht="14.15" customHeight="1" x14ac:dyDescent="0.35">
      <c r="A40" s="18" t="s">
        <v>74</v>
      </c>
      <c r="B40" s="71">
        <v>413937</v>
      </c>
      <c r="C40" s="71">
        <v>28083</v>
      </c>
      <c r="D40" s="71">
        <v>442020</v>
      </c>
      <c r="E40" s="71">
        <v>405944.97972</v>
      </c>
      <c r="F40" s="19"/>
      <c r="G40" s="19"/>
      <c r="H40" s="19" t="s">
        <v>102</v>
      </c>
      <c r="I40" s="19" t="s">
        <v>102</v>
      </c>
      <c r="J40" s="97" t="s">
        <v>102</v>
      </c>
      <c r="K40" s="146"/>
      <c r="L40" s="146"/>
      <c r="M40" s="146"/>
      <c r="N40" s="146"/>
      <c r="O40" s="146"/>
      <c r="P40" s="146"/>
      <c r="Q40" s="146"/>
      <c r="R40" s="146"/>
      <c r="S40" s="146"/>
      <c r="T40" s="146"/>
      <c r="U40" s="146"/>
      <c r="V40" s="146"/>
      <c r="W40" s="146"/>
      <c r="X40" s="146"/>
      <c r="Y40" s="146"/>
      <c r="Z40" s="146"/>
      <c r="AA40" s="146"/>
      <c r="AB40" s="146"/>
      <c r="AC40" s="146"/>
      <c r="AD40" s="146"/>
      <c r="AE40" s="146"/>
      <c r="AF40" s="146"/>
      <c r="AG40" s="146"/>
      <c r="AH40" s="146"/>
    </row>
    <row r="41" spans="1:34" ht="14.15" customHeight="1" x14ac:dyDescent="0.35">
      <c r="A41" s="18" t="s">
        <v>75</v>
      </c>
      <c r="B41" s="71">
        <v>376937</v>
      </c>
      <c r="C41" s="71">
        <v>22794</v>
      </c>
      <c r="D41" s="71">
        <v>399731</v>
      </c>
      <c r="E41" s="71">
        <v>367186.101173</v>
      </c>
      <c r="F41" s="19"/>
      <c r="G41" s="19"/>
      <c r="H41" s="19" t="s">
        <v>102</v>
      </c>
      <c r="I41" s="19" t="s">
        <v>102</v>
      </c>
      <c r="J41" s="97" t="s">
        <v>102</v>
      </c>
      <c r="K41" s="146"/>
      <c r="L41" s="146"/>
      <c r="M41" s="146"/>
      <c r="N41" s="146"/>
      <c r="O41" s="146"/>
      <c r="P41" s="146"/>
      <c r="Q41" s="146"/>
      <c r="R41" s="146"/>
      <c r="S41" s="146"/>
      <c r="T41" s="146"/>
      <c r="U41" s="146"/>
      <c r="V41" s="146"/>
      <c r="W41" s="146"/>
      <c r="X41" s="146"/>
      <c r="Y41" s="146"/>
      <c r="Z41" s="146"/>
      <c r="AA41" s="146"/>
      <c r="AB41" s="146"/>
      <c r="AC41" s="146"/>
      <c r="AD41" s="146"/>
      <c r="AE41" s="146"/>
      <c r="AF41" s="146"/>
      <c r="AG41" s="146"/>
      <c r="AH41" s="146"/>
    </row>
    <row r="42" spans="1:34" ht="14.15" customHeight="1" x14ac:dyDescent="0.35">
      <c r="A42" s="18" t="s">
        <v>76</v>
      </c>
      <c r="B42" s="71">
        <v>522646</v>
      </c>
      <c r="C42" s="71">
        <v>32318</v>
      </c>
      <c r="D42" s="71">
        <v>554964</v>
      </c>
      <c r="E42" s="71">
        <v>512517.02349599998</v>
      </c>
      <c r="F42" s="19"/>
      <c r="G42" s="19"/>
      <c r="H42" s="19" t="s">
        <v>102</v>
      </c>
      <c r="I42" s="19" t="s">
        <v>102</v>
      </c>
      <c r="J42" s="97" t="s">
        <v>102</v>
      </c>
      <c r="K42" s="146"/>
      <c r="L42" s="146"/>
      <c r="M42" s="146"/>
      <c r="N42" s="146"/>
      <c r="O42" s="146"/>
      <c r="P42" s="146"/>
      <c r="Q42" s="146"/>
      <c r="R42" s="146"/>
      <c r="S42" s="146"/>
      <c r="T42" s="146"/>
      <c r="U42" s="146"/>
      <c r="V42" s="146"/>
      <c r="W42" s="146"/>
      <c r="X42" s="146"/>
      <c r="Y42" s="146"/>
      <c r="Z42" s="146"/>
      <c r="AA42" s="146"/>
      <c r="AB42" s="146"/>
      <c r="AC42" s="146"/>
      <c r="AD42" s="146"/>
      <c r="AE42" s="146"/>
      <c r="AF42" s="146"/>
      <c r="AG42" s="146"/>
      <c r="AH42" s="146"/>
    </row>
    <row r="43" spans="1:34" ht="14.15" customHeight="1" x14ac:dyDescent="0.35">
      <c r="A43" s="18" t="s">
        <v>77</v>
      </c>
      <c r="B43" s="71">
        <v>622798</v>
      </c>
      <c r="C43" s="71">
        <v>35129</v>
      </c>
      <c r="D43" s="71">
        <v>657927</v>
      </c>
      <c r="E43" s="71">
        <v>605729.70352800004</v>
      </c>
      <c r="F43" s="19"/>
      <c r="G43" s="19"/>
      <c r="H43" s="19" t="s">
        <v>102</v>
      </c>
      <c r="I43" s="19" t="s">
        <v>102</v>
      </c>
      <c r="J43" s="97" t="s">
        <v>102</v>
      </c>
      <c r="K43" s="146"/>
      <c r="L43" s="146"/>
      <c r="M43" s="146"/>
      <c r="N43" s="146"/>
      <c r="O43" s="146"/>
      <c r="P43" s="146"/>
      <c r="Q43" s="146"/>
      <c r="R43" s="146"/>
      <c r="S43" s="146"/>
      <c r="T43" s="146"/>
      <c r="U43" s="146"/>
      <c r="V43" s="146"/>
      <c r="W43" s="146"/>
      <c r="X43" s="146"/>
      <c r="Y43" s="146"/>
      <c r="Z43" s="146"/>
      <c r="AA43" s="146"/>
      <c r="AB43" s="146"/>
      <c r="AC43" s="146"/>
      <c r="AD43" s="146"/>
      <c r="AE43" s="146"/>
      <c r="AF43" s="146"/>
      <c r="AG43" s="146"/>
      <c r="AH43" s="146"/>
    </row>
    <row r="44" spans="1:34" ht="14.15" customHeight="1" x14ac:dyDescent="0.35">
      <c r="A44" s="18" t="s">
        <v>78</v>
      </c>
      <c r="B44" s="71">
        <v>605518</v>
      </c>
      <c r="C44" s="71">
        <v>44622</v>
      </c>
      <c r="D44" s="71">
        <v>650140</v>
      </c>
      <c r="E44" s="71">
        <v>599367.31669999997</v>
      </c>
      <c r="F44" s="19"/>
      <c r="G44" s="19"/>
      <c r="H44" s="19" t="s">
        <v>102</v>
      </c>
      <c r="I44" s="19" t="s">
        <v>102</v>
      </c>
      <c r="J44" s="97" t="s">
        <v>102</v>
      </c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146"/>
      <c r="AD44" s="146"/>
      <c r="AE44" s="146"/>
      <c r="AF44" s="146"/>
      <c r="AG44" s="146"/>
      <c r="AH44" s="146"/>
    </row>
    <row r="45" spans="1:34" ht="14.15" customHeight="1" x14ac:dyDescent="0.35">
      <c r="A45" s="18" t="s">
        <v>79</v>
      </c>
      <c r="B45" s="71">
        <v>589558</v>
      </c>
      <c r="C45" s="71">
        <v>32973</v>
      </c>
      <c r="D45" s="71">
        <v>622531</v>
      </c>
      <c r="E45" s="71">
        <v>569421.012797</v>
      </c>
      <c r="F45" s="19"/>
      <c r="G45" s="19"/>
      <c r="H45" s="19" t="s">
        <v>102</v>
      </c>
      <c r="I45" s="19" t="s">
        <v>102</v>
      </c>
      <c r="J45" s="97" t="s">
        <v>102</v>
      </c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6"/>
      <c r="AC45" s="146"/>
      <c r="AD45" s="146"/>
      <c r="AE45" s="146"/>
      <c r="AF45" s="146"/>
      <c r="AG45" s="146"/>
      <c r="AH45" s="146"/>
    </row>
    <row r="46" spans="1:34" ht="14.15" customHeight="1" x14ac:dyDescent="0.35">
      <c r="A46" s="18" t="s">
        <v>80</v>
      </c>
      <c r="B46" s="71">
        <v>558694</v>
      </c>
      <c r="C46" s="71">
        <v>35910</v>
      </c>
      <c r="D46" s="71">
        <v>594604</v>
      </c>
      <c r="E46" s="71">
        <v>541581.37750800001</v>
      </c>
      <c r="F46" s="19"/>
      <c r="G46" s="19"/>
      <c r="H46" s="19" t="s">
        <v>102</v>
      </c>
      <c r="I46" s="19" t="s">
        <v>102</v>
      </c>
      <c r="J46" s="97" t="s">
        <v>102</v>
      </c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6"/>
      <c r="AC46" s="146"/>
      <c r="AD46" s="146"/>
      <c r="AE46" s="146"/>
      <c r="AF46" s="146"/>
      <c r="AG46" s="146"/>
      <c r="AH46" s="146"/>
    </row>
    <row r="47" spans="1:34" ht="14.15" customHeight="1" x14ac:dyDescent="0.35">
      <c r="A47" s="18" t="s">
        <v>81</v>
      </c>
      <c r="B47" s="71">
        <v>456146</v>
      </c>
      <c r="C47" s="71">
        <v>25504</v>
      </c>
      <c r="D47" s="71">
        <v>481650</v>
      </c>
      <c r="E47" s="71">
        <v>440727.57104999997</v>
      </c>
      <c r="F47" s="19"/>
      <c r="G47" s="19"/>
      <c r="H47" s="19" t="s">
        <v>102</v>
      </c>
      <c r="I47" s="19" t="s">
        <v>102</v>
      </c>
      <c r="J47" s="97" t="s">
        <v>102</v>
      </c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</row>
    <row r="48" spans="1:34" ht="14.15" customHeight="1" x14ac:dyDescent="0.35">
      <c r="A48" s="18" t="s">
        <v>82</v>
      </c>
      <c r="B48" s="71">
        <v>533185.28571428568</v>
      </c>
      <c r="C48" s="71">
        <v>32750</v>
      </c>
      <c r="D48" s="71">
        <v>565935.28571428568</v>
      </c>
      <c r="E48" s="71">
        <v>519504.30089314282</v>
      </c>
      <c r="F48" s="19"/>
      <c r="G48" s="19"/>
      <c r="H48" s="19" t="s">
        <v>102</v>
      </c>
      <c r="I48" s="19" t="s">
        <v>102</v>
      </c>
      <c r="J48" s="97" t="s">
        <v>102</v>
      </c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  <c r="AD48" s="146"/>
      <c r="AE48" s="146"/>
      <c r="AF48" s="146"/>
      <c r="AG48" s="146"/>
      <c r="AH48" s="146"/>
    </row>
    <row r="49" spans="1:34" ht="14.15" customHeight="1" x14ac:dyDescent="0.35">
      <c r="A49" s="18" t="s">
        <v>83</v>
      </c>
      <c r="B49" s="71">
        <v>533185.28571428568</v>
      </c>
      <c r="C49" s="71">
        <v>32750</v>
      </c>
      <c r="D49" s="71">
        <v>565935.28571428568</v>
      </c>
      <c r="E49" s="71">
        <v>519504.30089314282</v>
      </c>
      <c r="F49" s="19"/>
      <c r="G49" s="19"/>
      <c r="H49" s="19" t="s">
        <v>102</v>
      </c>
      <c r="I49" s="19" t="s">
        <v>102</v>
      </c>
      <c r="J49" s="97" t="s">
        <v>102</v>
      </c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</row>
    <row r="50" spans="1:34" ht="14.15" customHeight="1" x14ac:dyDescent="0.35">
      <c r="A50" s="18" t="s">
        <v>84</v>
      </c>
      <c r="B50" s="71">
        <v>533185.28571428568</v>
      </c>
      <c r="C50" s="71">
        <v>32750</v>
      </c>
      <c r="D50" s="71">
        <v>565935.28571428568</v>
      </c>
      <c r="E50" s="71">
        <v>519504.30089314282</v>
      </c>
      <c r="F50" s="19"/>
      <c r="G50" s="19"/>
      <c r="H50" s="19" t="s">
        <v>102</v>
      </c>
      <c r="I50" s="19" t="s">
        <v>102</v>
      </c>
      <c r="J50" s="97" t="s">
        <v>102</v>
      </c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</row>
    <row r="51" spans="1:34" ht="14.15" customHeight="1" x14ac:dyDescent="0.35">
      <c r="A51" s="18" t="s">
        <v>85</v>
      </c>
      <c r="B51" s="71">
        <v>533185.28571428568</v>
      </c>
      <c r="C51" s="71">
        <v>32750</v>
      </c>
      <c r="D51" s="71">
        <v>565935.28571428568</v>
      </c>
      <c r="E51" s="71">
        <v>519504.30089314282</v>
      </c>
      <c r="F51" s="19"/>
      <c r="G51" s="19"/>
      <c r="H51" s="19" t="s">
        <v>102</v>
      </c>
      <c r="I51" s="19" t="s">
        <v>102</v>
      </c>
      <c r="J51" s="97" t="s">
        <v>102</v>
      </c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</row>
    <row r="52" spans="1:34" ht="14.15" customHeight="1" x14ac:dyDescent="0.35">
      <c r="A52" s="18" t="s">
        <v>86</v>
      </c>
      <c r="B52" s="71">
        <v>533185.28571428568</v>
      </c>
      <c r="C52" s="71">
        <v>32750</v>
      </c>
      <c r="D52" s="71">
        <v>565935.28571428568</v>
      </c>
      <c r="E52" s="71">
        <v>519504.30089314282</v>
      </c>
      <c r="F52" s="19"/>
      <c r="G52" s="19"/>
      <c r="H52" s="19" t="s">
        <v>102</v>
      </c>
      <c r="I52" s="19" t="s">
        <v>102</v>
      </c>
      <c r="J52" s="97" t="s">
        <v>102</v>
      </c>
      <c r="K52" s="146"/>
      <c r="L52" s="146"/>
      <c r="M52" s="146"/>
      <c r="N52" s="146"/>
      <c r="O52" s="146"/>
      <c r="P52" s="146"/>
      <c r="Q52" s="146"/>
      <c r="R52" s="146"/>
      <c r="S52" s="146"/>
      <c r="T52" s="146"/>
      <c r="U52" s="146"/>
      <c r="V52" s="146"/>
      <c r="W52" s="146"/>
      <c r="X52" s="146"/>
      <c r="Y52" s="146"/>
      <c r="Z52" s="146"/>
      <c r="AA52" s="146"/>
      <c r="AB52" s="146"/>
      <c r="AC52" s="146"/>
      <c r="AD52" s="146"/>
      <c r="AE52" s="146"/>
      <c r="AF52" s="146"/>
      <c r="AG52" s="146"/>
      <c r="AH52" s="146"/>
    </row>
    <row r="53" spans="1:34" ht="14.15" customHeight="1" x14ac:dyDescent="0.35">
      <c r="A53" s="18" t="s">
        <v>87</v>
      </c>
      <c r="B53" s="71">
        <v>533185.28571428568</v>
      </c>
      <c r="C53" s="71">
        <v>32750</v>
      </c>
      <c r="D53" s="71">
        <v>565935.28571428568</v>
      </c>
      <c r="E53" s="71">
        <v>519504.30089314282</v>
      </c>
      <c r="F53" s="19"/>
      <c r="G53" s="19"/>
      <c r="H53" s="19" t="s">
        <v>102</v>
      </c>
      <c r="I53" s="19" t="s">
        <v>102</v>
      </c>
      <c r="J53" s="97" t="s">
        <v>102</v>
      </c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</row>
    <row r="54" spans="1:34" ht="14.15" customHeight="1" x14ac:dyDescent="0.35">
      <c r="A54" s="18" t="s">
        <v>88</v>
      </c>
      <c r="B54" s="71">
        <v>533185.28571428568</v>
      </c>
      <c r="C54" s="71">
        <v>32750</v>
      </c>
      <c r="D54" s="71">
        <v>565935.28571428568</v>
      </c>
      <c r="E54" s="71">
        <v>519504.30089314282</v>
      </c>
      <c r="F54" s="19"/>
      <c r="G54" s="19"/>
      <c r="H54" s="19" t="s">
        <v>102</v>
      </c>
      <c r="I54" s="19" t="s">
        <v>102</v>
      </c>
      <c r="J54" s="97" t="s">
        <v>102</v>
      </c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  <c r="AH54" s="146"/>
    </row>
    <row r="55" spans="1:34" ht="14.15" customHeight="1" x14ac:dyDescent="0.35">
      <c r="A55" s="18" t="s">
        <v>89</v>
      </c>
      <c r="B55" s="71">
        <v>533185.28571428568</v>
      </c>
      <c r="C55" s="71">
        <v>32750</v>
      </c>
      <c r="D55" s="71">
        <v>565935.28571428568</v>
      </c>
      <c r="E55" s="71">
        <v>519504.30089314282</v>
      </c>
      <c r="F55" s="19"/>
      <c r="G55" s="19"/>
      <c r="H55" s="19" t="s">
        <v>102</v>
      </c>
      <c r="I55" s="19" t="s">
        <v>102</v>
      </c>
      <c r="J55" s="97" t="s">
        <v>102</v>
      </c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</row>
    <row r="56" spans="1:34" ht="14.15" customHeight="1" thickBot="1" x14ac:dyDescent="0.4">
      <c r="A56" s="18" t="s">
        <v>90</v>
      </c>
      <c r="B56" s="71">
        <v>533185.28571428568</v>
      </c>
      <c r="C56" s="71">
        <v>32750</v>
      </c>
      <c r="D56" s="71">
        <v>565935.28571428568</v>
      </c>
      <c r="E56" s="71">
        <v>519504.30089314282</v>
      </c>
      <c r="F56" s="19"/>
      <c r="G56" s="19"/>
      <c r="H56" s="19" t="s">
        <v>102</v>
      </c>
      <c r="I56" s="19" t="s">
        <v>102</v>
      </c>
      <c r="J56" s="97" t="s">
        <v>102</v>
      </c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</row>
    <row r="57" spans="1:34" ht="15.5" x14ac:dyDescent="0.35">
      <c r="A57" s="18" t="s">
        <v>91</v>
      </c>
      <c r="B57" s="116">
        <v>29862033.571428586</v>
      </c>
      <c r="C57" s="116">
        <v>1792792</v>
      </c>
      <c r="D57" s="116">
        <v>31654825.571428586</v>
      </c>
      <c r="E57" s="116">
        <v>29157082.487641286</v>
      </c>
      <c r="F57" s="19"/>
      <c r="G57" s="19"/>
      <c r="H57" s="19"/>
      <c r="I57" s="19"/>
      <c r="J57" s="97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</row>
    <row r="58" spans="1:34" ht="15.5" x14ac:dyDescent="0.35">
      <c r="A58" s="18" t="s">
        <v>92</v>
      </c>
      <c r="B58" s="71">
        <v>533185.28571428568</v>
      </c>
      <c r="C58" s="71">
        <v>32750</v>
      </c>
      <c r="D58" s="71">
        <v>565935.28571428568</v>
      </c>
      <c r="E58" s="71">
        <v>519504.30089314282</v>
      </c>
      <c r="F58" s="19"/>
      <c r="G58" s="19"/>
      <c r="H58" s="19"/>
      <c r="I58" s="19"/>
      <c r="J58" s="97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</row>
    <row r="59" spans="1:34" ht="15.5" x14ac:dyDescent="0.35">
      <c r="A59" s="18" t="s">
        <v>93</v>
      </c>
      <c r="B59" s="71">
        <v>4265482.2857142845</v>
      </c>
      <c r="C59" s="71">
        <v>262000</v>
      </c>
      <c r="D59" s="71">
        <v>4527482.2857142845</v>
      </c>
      <c r="E59" s="71">
        <v>4156034.4071451426</v>
      </c>
      <c r="F59" s="113" t="s">
        <v>102</v>
      </c>
      <c r="G59" s="113" t="s">
        <v>102</v>
      </c>
      <c r="H59" s="113" t="s">
        <v>102</v>
      </c>
      <c r="I59" s="113" t="s">
        <v>102</v>
      </c>
      <c r="J59" s="117" t="s">
        <v>102</v>
      </c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</row>
    <row r="60" spans="1:34" ht="24" customHeight="1" x14ac:dyDescent="0.35">
      <c r="A60" s="18"/>
      <c r="B60" s="149" t="s">
        <v>102</v>
      </c>
      <c r="C60" s="149" t="s">
        <v>102</v>
      </c>
      <c r="D60" s="149" t="s">
        <v>102</v>
      </c>
      <c r="E60" s="71" t="s">
        <v>102</v>
      </c>
      <c r="F60" s="113" t="s">
        <v>102</v>
      </c>
      <c r="G60" s="113" t="s">
        <v>102</v>
      </c>
      <c r="H60" s="113" t="s">
        <v>102</v>
      </c>
      <c r="I60" s="113" t="s">
        <v>102</v>
      </c>
      <c r="J60" s="117" t="s">
        <v>102</v>
      </c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</row>
    <row r="61" spans="1:34" ht="20.149999999999999" customHeight="1" x14ac:dyDescent="0.35">
      <c r="A61" s="18"/>
      <c r="B61" s="149" t="s">
        <v>102</v>
      </c>
      <c r="C61" s="149" t="s">
        <v>102</v>
      </c>
      <c r="D61" s="149" t="s">
        <v>102</v>
      </c>
      <c r="E61" s="71" t="s">
        <v>102</v>
      </c>
      <c r="F61" s="113" t="s">
        <v>102</v>
      </c>
      <c r="G61" s="113" t="s">
        <v>102</v>
      </c>
      <c r="H61" s="113" t="s">
        <v>102</v>
      </c>
      <c r="I61" s="113" t="s">
        <v>102</v>
      </c>
      <c r="J61" s="117" t="s">
        <v>102</v>
      </c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  <c r="W61" s="146"/>
      <c r="X61" s="146"/>
      <c r="Y61" s="146"/>
      <c r="Z61" s="146"/>
      <c r="AA61" s="146"/>
      <c r="AB61" s="146"/>
      <c r="AC61" s="146"/>
      <c r="AD61" s="146"/>
      <c r="AE61" s="146"/>
      <c r="AF61" s="146"/>
      <c r="AG61" s="146"/>
      <c r="AH61" s="146"/>
    </row>
    <row r="62" spans="1:34" ht="20.149999999999999" customHeight="1" x14ac:dyDescent="0.35">
      <c r="A62" s="18"/>
      <c r="B62" s="71"/>
      <c r="C62" s="71"/>
      <c r="D62" s="71"/>
      <c r="E62" s="71"/>
      <c r="F62" s="19"/>
      <c r="G62" s="19"/>
      <c r="H62" s="19"/>
      <c r="I62" s="19"/>
      <c r="J62" s="146"/>
      <c r="K62" s="146"/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  <c r="W62" s="146"/>
      <c r="X62" s="146"/>
      <c r="Y62" s="146"/>
      <c r="Z62" s="146"/>
      <c r="AA62" s="146"/>
      <c r="AB62" s="146"/>
      <c r="AC62" s="146"/>
      <c r="AD62" s="146"/>
      <c r="AE62" s="146"/>
      <c r="AF62" s="146"/>
      <c r="AG62" s="146"/>
      <c r="AH62" s="146"/>
    </row>
    <row r="63" spans="1:34" ht="20.149999999999999" customHeight="1" x14ac:dyDescent="0.35">
      <c r="A63" s="18"/>
      <c r="B63" s="71"/>
      <c r="C63" s="71"/>
      <c r="D63" s="71"/>
      <c r="E63" s="71"/>
      <c r="F63" s="19"/>
      <c r="G63" s="19"/>
      <c r="H63" s="19"/>
      <c r="I63" s="19"/>
      <c r="J63" s="146"/>
      <c r="K63" s="146"/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  <c r="W63" s="146"/>
      <c r="X63" s="146"/>
      <c r="Y63" s="146"/>
      <c r="Z63" s="146"/>
      <c r="AA63" s="146"/>
      <c r="AB63" s="146"/>
      <c r="AC63" s="146"/>
      <c r="AD63" s="146"/>
      <c r="AE63" s="146"/>
      <c r="AF63" s="146"/>
      <c r="AG63" s="146"/>
      <c r="AH63" s="146"/>
    </row>
    <row r="64" spans="1:34" ht="20.149999999999999" customHeight="1" x14ac:dyDescent="0.35">
      <c r="A64" s="18"/>
      <c r="B64" s="71"/>
      <c r="C64" s="71"/>
      <c r="D64" s="71"/>
      <c r="E64" s="71"/>
      <c r="F64" s="19"/>
      <c r="G64" s="19"/>
      <c r="H64" s="19"/>
      <c r="I64" s="19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</row>
    <row r="65" spans="1:34" ht="20.149999999999999" customHeight="1" x14ac:dyDescent="0.35">
      <c r="A65" s="18"/>
      <c r="B65" s="71"/>
      <c r="C65" s="71"/>
      <c r="D65" s="71"/>
      <c r="E65" s="71"/>
      <c r="F65" s="19"/>
      <c r="G65" s="19"/>
      <c r="H65" s="19"/>
      <c r="I65" s="19"/>
      <c r="J65" s="146"/>
      <c r="K65" s="146"/>
      <c r="L65" s="146"/>
      <c r="M65" s="146"/>
      <c r="N65" s="146"/>
      <c r="O65" s="146"/>
      <c r="P65" s="146"/>
      <c r="Q65" s="146"/>
      <c r="R65" s="146"/>
      <c r="S65" s="146"/>
      <c r="T65" s="146"/>
      <c r="U65" s="146"/>
      <c r="V65" s="146"/>
      <c r="W65" s="146"/>
      <c r="X65" s="146"/>
      <c r="Y65" s="146"/>
      <c r="Z65" s="146"/>
      <c r="AA65" s="146"/>
      <c r="AB65" s="146"/>
      <c r="AC65" s="146"/>
      <c r="AD65" s="146"/>
      <c r="AE65" s="146"/>
      <c r="AF65" s="146"/>
      <c r="AG65" s="146"/>
      <c r="AH65" s="146"/>
    </row>
    <row r="66" spans="1:34" ht="20.149999999999999" customHeight="1" x14ac:dyDescent="0.35">
      <c r="A66" s="18"/>
      <c r="B66" s="71"/>
      <c r="C66" s="71"/>
      <c r="D66" s="71"/>
      <c r="E66" s="71"/>
      <c r="F66" s="19"/>
      <c r="G66" s="19"/>
      <c r="H66" s="19"/>
      <c r="I66" s="19"/>
      <c r="J66" s="146"/>
      <c r="K66" s="146"/>
      <c r="L66" s="146"/>
      <c r="M66" s="146"/>
      <c r="N66" s="146"/>
      <c r="O66" s="146"/>
      <c r="P66" s="146"/>
      <c r="Q66" s="146"/>
      <c r="R66" s="146"/>
      <c r="S66" s="146"/>
      <c r="T66" s="146"/>
      <c r="U66" s="146"/>
      <c r="V66" s="146"/>
      <c r="W66" s="146"/>
      <c r="X66" s="146"/>
      <c r="Y66" s="146"/>
      <c r="Z66" s="146"/>
      <c r="AA66" s="146"/>
      <c r="AB66" s="146"/>
      <c r="AC66" s="146"/>
      <c r="AD66" s="146"/>
      <c r="AE66" s="146"/>
      <c r="AF66" s="146"/>
      <c r="AG66" s="146"/>
      <c r="AH66" s="146"/>
    </row>
    <row r="67" spans="1:34" ht="20.149999999999999" customHeight="1" x14ac:dyDescent="0.35">
      <c r="A67" s="18"/>
      <c r="B67" s="71"/>
      <c r="C67" s="71"/>
      <c r="D67" s="71"/>
      <c r="E67" s="71"/>
      <c r="F67" s="19"/>
      <c r="G67" s="19"/>
      <c r="H67" s="19"/>
      <c r="I67" s="19"/>
      <c r="J67" s="146"/>
      <c r="K67" s="146"/>
      <c r="L67" s="146"/>
      <c r="M67" s="146"/>
      <c r="N67" s="146"/>
      <c r="O67" s="146"/>
      <c r="P67" s="146"/>
      <c r="Q67" s="146"/>
      <c r="R67" s="146"/>
      <c r="S67" s="146"/>
      <c r="T67" s="146"/>
      <c r="U67" s="146"/>
      <c r="V67" s="146"/>
      <c r="W67" s="146"/>
      <c r="X67" s="146"/>
      <c r="Y67" s="146"/>
      <c r="Z67" s="146"/>
      <c r="AA67" s="146"/>
      <c r="AB67" s="146"/>
      <c r="AC67" s="146"/>
      <c r="AD67" s="146"/>
      <c r="AE67" s="146"/>
      <c r="AF67" s="146"/>
      <c r="AG67" s="146"/>
      <c r="AH67" s="146"/>
    </row>
    <row r="68" spans="1:34" ht="20.149999999999999" customHeight="1" x14ac:dyDescent="0.35">
      <c r="A68" s="18"/>
      <c r="B68" s="71"/>
      <c r="C68" s="71"/>
      <c r="D68" s="71"/>
      <c r="E68" s="71"/>
      <c r="F68" s="19"/>
      <c r="G68" s="19"/>
      <c r="H68" s="19"/>
      <c r="I68" s="19"/>
      <c r="J68" s="146"/>
      <c r="K68" s="146"/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  <c r="W68" s="146"/>
      <c r="X68" s="146"/>
      <c r="Y68" s="146"/>
      <c r="Z68" s="146"/>
      <c r="AA68" s="146"/>
      <c r="AB68" s="146"/>
      <c r="AC68" s="146"/>
      <c r="AD68" s="146"/>
      <c r="AE68" s="146"/>
      <c r="AF68" s="146"/>
      <c r="AG68" s="146"/>
      <c r="AH68" s="146"/>
    </row>
    <row r="69" spans="1:34" ht="20.149999999999999" customHeight="1" x14ac:dyDescent="0.35">
      <c r="A69" s="18"/>
      <c r="B69" s="71"/>
      <c r="C69" s="71"/>
      <c r="D69" s="71"/>
      <c r="E69" s="71"/>
      <c r="F69" s="19"/>
      <c r="G69" s="19"/>
      <c r="H69" s="19"/>
      <c r="I69" s="19"/>
      <c r="J69" s="146"/>
      <c r="K69" s="146"/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  <c r="W69" s="146"/>
      <c r="X69" s="146"/>
      <c r="Y69" s="146"/>
      <c r="Z69" s="146"/>
      <c r="AA69" s="146"/>
      <c r="AB69" s="146"/>
      <c r="AC69" s="146"/>
      <c r="AD69" s="146"/>
      <c r="AE69" s="146"/>
      <c r="AF69" s="146"/>
      <c r="AG69" s="146"/>
      <c r="AH69" s="146"/>
    </row>
    <row r="70" spans="1:34" ht="20.149999999999999" customHeight="1" x14ac:dyDescent="0.35">
      <c r="A70" s="18"/>
      <c r="B70" s="71"/>
      <c r="C70" s="71"/>
      <c r="D70" s="71"/>
      <c r="E70" s="71"/>
      <c r="F70" s="19"/>
      <c r="G70" s="19"/>
      <c r="H70" s="19"/>
      <c r="I70" s="19"/>
      <c r="J70" s="146"/>
      <c r="K70" s="146"/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  <c r="W70" s="146"/>
      <c r="X70" s="146"/>
      <c r="Y70" s="146"/>
      <c r="Z70" s="146"/>
      <c r="AA70" s="146"/>
      <c r="AB70" s="146"/>
      <c r="AC70" s="146"/>
      <c r="AD70" s="146"/>
      <c r="AE70" s="146"/>
      <c r="AF70" s="146"/>
      <c r="AG70" s="146"/>
      <c r="AH70" s="146"/>
    </row>
    <row r="71" spans="1:34" ht="20.149999999999999" customHeight="1" x14ac:dyDescent="0.35">
      <c r="A71" s="18"/>
      <c r="B71" s="71"/>
      <c r="C71" s="71"/>
      <c r="D71" s="71"/>
      <c r="E71" s="71"/>
      <c r="F71" s="19"/>
      <c r="G71" s="19"/>
      <c r="H71" s="19"/>
      <c r="I71" s="19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  <c r="AB71" s="146"/>
      <c r="AC71" s="146"/>
      <c r="AD71" s="146"/>
      <c r="AE71" s="146"/>
      <c r="AF71" s="146"/>
      <c r="AG71" s="146"/>
      <c r="AH71" s="146"/>
    </row>
    <row r="72" spans="1:34" ht="20.149999999999999" customHeight="1" x14ac:dyDescent="0.35">
      <c r="A72" s="18"/>
      <c r="B72" s="71"/>
      <c r="C72" s="71"/>
      <c r="D72" s="71"/>
      <c r="E72" s="71"/>
      <c r="F72" s="19"/>
      <c r="G72" s="19"/>
      <c r="H72" s="19"/>
      <c r="I72" s="19"/>
      <c r="J72" s="146"/>
      <c r="K72" s="146"/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  <c r="W72" s="146"/>
      <c r="X72" s="146"/>
      <c r="Y72" s="146"/>
      <c r="Z72" s="146"/>
      <c r="AA72" s="146"/>
      <c r="AB72" s="146"/>
      <c r="AC72" s="146"/>
      <c r="AD72" s="146"/>
      <c r="AE72" s="146"/>
      <c r="AF72" s="146"/>
      <c r="AG72" s="146"/>
      <c r="AH72" s="146"/>
    </row>
    <row r="73" spans="1:34" ht="20.149999999999999" customHeight="1" x14ac:dyDescent="0.35">
      <c r="A73" s="18"/>
      <c r="B73" s="71"/>
      <c r="C73" s="71"/>
      <c r="D73" s="71"/>
      <c r="E73" s="71"/>
      <c r="F73" s="19"/>
      <c r="G73" s="19"/>
      <c r="H73" s="19"/>
      <c r="I73" s="19"/>
      <c r="J73" s="146"/>
      <c r="K73" s="146"/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  <c r="W73" s="146"/>
      <c r="X73" s="146"/>
      <c r="Y73" s="146"/>
      <c r="Z73" s="146"/>
      <c r="AA73" s="146"/>
      <c r="AB73" s="146"/>
      <c r="AC73" s="146"/>
      <c r="AD73" s="146"/>
      <c r="AE73" s="146"/>
      <c r="AF73" s="146"/>
      <c r="AG73" s="146"/>
      <c r="AH73" s="146"/>
    </row>
    <row r="74" spans="1:34" ht="20.149999999999999" customHeight="1" x14ac:dyDescent="0.35">
      <c r="A74" s="18"/>
      <c r="B74" s="71"/>
      <c r="C74" s="71"/>
      <c r="D74" s="71"/>
      <c r="E74" s="71"/>
      <c r="F74" s="19"/>
      <c r="G74" s="19"/>
      <c r="H74" s="19"/>
      <c r="I74" s="19"/>
      <c r="J74" s="146"/>
      <c r="K74" s="146"/>
      <c r="L74" s="146"/>
      <c r="M74" s="146"/>
      <c r="N74" s="146"/>
      <c r="O74" s="146"/>
      <c r="P74" s="146"/>
      <c r="Q74" s="146"/>
      <c r="R74" s="146"/>
      <c r="S74" s="146"/>
      <c r="T74" s="146"/>
      <c r="U74" s="146"/>
      <c r="V74" s="146"/>
      <c r="W74" s="146"/>
      <c r="X74" s="146"/>
      <c r="Y74" s="146"/>
      <c r="Z74" s="146"/>
      <c r="AA74" s="146"/>
      <c r="AB74" s="146"/>
      <c r="AC74" s="146"/>
      <c r="AD74" s="146"/>
      <c r="AE74" s="146"/>
      <c r="AF74" s="146"/>
      <c r="AG74" s="146"/>
      <c r="AH74" s="146"/>
    </row>
    <row r="75" spans="1:34" ht="20.149999999999999" customHeight="1" x14ac:dyDescent="0.35">
      <c r="A75" s="18"/>
      <c r="B75" s="71"/>
      <c r="C75" s="71"/>
      <c r="D75" s="71"/>
      <c r="E75" s="71"/>
      <c r="F75" s="19"/>
      <c r="G75" s="19"/>
      <c r="H75" s="19"/>
      <c r="I75" s="19"/>
      <c r="J75" s="146"/>
      <c r="K75" s="146"/>
      <c r="L75" s="146"/>
      <c r="M75" s="146"/>
      <c r="N75" s="146"/>
      <c r="O75" s="146"/>
      <c r="P75" s="146"/>
      <c r="Q75" s="146"/>
      <c r="R75" s="146"/>
      <c r="S75" s="146"/>
      <c r="T75" s="146"/>
      <c r="U75" s="146"/>
      <c r="V75" s="146"/>
      <c r="W75" s="146"/>
      <c r="X75" s="146"/>
      <c r="Y75" s="146"/>
      <c r="Z75" s="146"/>
      <c r="AA75" s="146"/>
      <c r="AB75" s="146"/>
      <c r="AC75" s="146"/>
      <c r="AD75" s="146"/>
      <c r="AE75" s="146"/>
      <c r="AF75" s="146"/>
      <c r="AG75" s="146"/>
      <c r="AH75" s="146"/>
    </row>
    <row r="76" spans="1:34" ht="20.149999999999999" customHeight="1" x14ac:dyDescent="0.35">
      <c r="A76" s="18"/>
      <c r="B76" s="71"/>
      <c r="C76" s="71"/>
      <c r="D76" s="71"/>
      <c r="E76" s="71"/>
      <c r="F76" s="19"/>
      <c r="G76" s="19"/>
      <c r="H76" s="19"/>
      <c r="I76" s="19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6"/>
      <c r="AB76" s="146"/>
      <c r="AC76" s="146"/>
      <c r="AD76" s="146"/>
      <c r="AE76" s="146"/>
      <c r="AF76" s="146"/>
      <c r="AG76" s="146"/>
      <c r="AH76" s="146"/>
    </row>
    <row r="77" spans="1:34" ht="20.149999999999999" customHeight="1" x14ac:dyDescent="0.35">
      <c r="A77" s="18"/>
      <c r="B77" s="71"/>
      <c r="C77" s="71"/>
      <c r="D77" s="71"/>
      <c r="E77" s="71"/>
      <c r="F77" s="19"/>
      <c r="G77" s="19"/>
      <c r="H77" s="19"/>
      <c r="I77" s="19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  <c r="Z77" s="146"/>
      <c r="AA77" s="146"/>
      <c r="AB77" s="146"/>
      <c r="AC77" s="146"/>
      <c r="AD77" s="146"/>
      <c r="AE77" s="146"/>
      <c r="AF77" s="146"/>
      <c r="AG77" s="146"/>
      <c r="AH77" s="146"/>
    </row>
    <row r="78" spans="1:34" ht="20.149999999999999" customHeight="1" x14ac:dyDescent="0.35">
      <c r="A78" s="18"/>
      <c r="B78" s="71"/>
      <c r="C78" s="71"/>
      <c r="D78" s="71"/>
      <c r="E78" s="71"/>
      <c r="F78" s="19"/>
      <c r="G78" s="19"/>
      <c r="H78" s="19"/>
      <c r="I78" s="19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  <c r="AA78" s="146"/>
      <c r="AB78" s="146"/>
      <c r="AC78" s="146"/>
      <c r="AD78" s="146"/>
      <c r="AE78" s="146"/>
      <c r="AF78" s="146"/>
      <c r="AG78" s="146"/>
      <c r="AH78" s="146"/>
    </row>
    <row r="79" spans="1:34" ht="20.149999999999999" customHeight="1" x14ac:dyDescent="0.35">
      <c r="A79" s="18"/>
      <c r="B79" s="71"/>
      <c r="C79" s="71"/>
      <c r="D79" s="71"/>
      <c r="E79" s="71"/>
      <c r="F79" s="19"/>
      <c r="G79" s="19"/>
      <c r="H79" s="19"/>
      <c r="I79" s="19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  <c r="AA79" s="146"/>
      <c r="AB79" s="146"/>
      <c r="AC79" s="146"/>
      <c r="AD79" s="146"/>
      <c r="AE79" s="146"/>
      <c r="AF79" s="146"/>
      <c r="AG79" s="146"/>
      <c r="AH79" s="146"/>
    </row>
    <row r="80" spans="1:34" ht="20.149999999999999" customHeight="1" x14ac:dyDescent="0.35">
      <c r="A80" s="18"/>
      <c r="B80" s="71"/>
      <c r="C80" s="71"/>
      <c r="D80" s="71"/>
      <c r="E80" s="71"/>
      <c r="F80" s="19"/>
      <c r="G80" s="19"/>
      <c r="H80" s="19"/>
      <c r="I80" s="19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</row>
    <row r="81" spans="1:34" ht="20.149999999999999" customHeight="1" x14ac:dyDescent="0.35">
      <c r="A81" s="18"/>
      <c r="B81" s="71"/>
      <c r="C81" s="71"/>
      <c r="D81" s="71"/>
      <c r="E81" s="71"/>
      <c r="F81" s="19"/>
      <c r="G81" s="19"/>
      <c r="H81" s="19"/>
      <c r="I81" s="19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  <c r="AA81" s="146"/>
      <c r="AB81" s="146"/>
      <c r="AC81" s="146"/>
      <c r="AD81" s="146"/>
      <c r="AE81" s="146"/>
      <c r="AF81" s="146"/>
      <c r="AG81" s="146"/>
      <c r="AH81" s="146"/>
    </row>
    <row r="82" spans="1:34" ht="20.149999999999999" customHeight="1" x14ac:dyDescent="0.35">
      <c r="A82" s="18"/>
      <c r="B82" s="71"/>
      <c r="C82" s="71"/>
      <c r="D82" s="71"/>
      <c r="E82" s="71"/>
      <c r="F82" s="19"/>
      <c r="G82" s="19"/>
      <c r="H82" s="19"/>
      <c r="I82" s="19"/>
      <c r="J82" s="146"/>
      <c r="K82" s="146"/>
      <c r="L82" s="146"/>
      <c r="M82" s="146"/>
      <c r="N82" s="146"/>
      <c r="O82" s="146"/>
      <c r="P82" s="146"/>
      <c r="Q82" s="146"/>
      <c r="R82" s="146"/>
      <c r="S82" s="146"/>
      <c r="T82" s="146"/>
      <c r="U82" s="146"/>
      <c r="V82" s="146"/>
      <c r="W82" s="146"/>
      <c r="X82" s="146"/>
      <c r="Y82" s="146"/>
      <c r="Z82" s="146"/>
      <c r="AA82" s="146"/>
      <c r="AB82" s="146"/>
      <c r="AC82" s="146"/>
      <c r="AD82" s="146"/>
      <c r="AE82" s="146"/>
      <c r="AF82" s="146"/>
      <c r="AG82" s="146"/>
      <c r="AH82" s="146"/>
    </row>
    <row r="83" spans="1:34" ht="20.149999999999999" customHeight="1" x14ac:dyDescent="0.35">
      <c r="A83" s="18"/>
      <c r="B83" s="71"/>
      <c r="C83" s="71"/>
      <c r="D83" s="71"/>
      <c r="E83" s="71"/>
      <c r="F83" s="19"/>
      <c r="G83" s="19"/>
      <c r="H83" s="19"/>
      <c r="I83" s="19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6"/>
      <c r="AB83" s="146"/>
      <c r="AC83" s="146"/>
      <c r="AD83" s="146"/>
      <c r="AE83" s="146"/>
      <c r="AF83" s="146"/>
      <c r="AG83" s="146"/>
      <c r="AH83" s="146"/>
    </row>
    <row r="84" spans="1:34" ht="20.149999999999999" customHeight="1" x14ac:dyDescent="0.35">
      <c r="A84" s="18"/>
      <c r="B84" s="71"/>
      <c r="C84" s="71"/>
      <c r="D84" s="71"/>
      <c r="E84" s="71"/>
      <c r="F84" s="19"/>
      <c r="G84" s="19"/>
      <c r="H84" s="19"/>
      <c r="I84" s="19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6"/>
      <c r="AE84" s="146"/>
      <c r="AF84" s="146"/>
      <c r="AG84" s="146"/>
      <c r="AH84" s="146"/>
    </row>
    <row r="85" spans="1:34" ht="20.149999999999999" customHeight="1" x14ac:dyDescent="0.35">
      <c r="A85" s="18"/>
      <c r="B85" s="71"/>
      <c r="C85" s="71"/>
      <c r="D85" s="71"/>
      <c r="E85" s="71"/>
      <c r="F85" s="19"/>
      <c r="G85" s="19"/>
      <c r="H85" s="19"/>
      <c r="I85" s="19"/>
      <c r="J85" s="146"/>
      <c r="K85" s="146"/>
      <c r="L85" s="146"/>
      <c r="M85" s="146"/>
      <c r="N85" s="146"/>
      <c r="O85" s="146"/>
      <c r="P85" s="146"/>
      <c r="Q85" s="146"/>
      <c r="R85" s="146"/>
      <c r="S85" s="146"/>
      <c r="T85" s="146"/>
      <c r="U85" s="146"/>
      <c r="V85" s="146"/>
      <c r="W85" s="146"/>
      <c r="X85" s="146"/>
      <c r="Y85" s="146"/>
      <c r="Z85" s="146"/>
      <c r="AA85" s="146"/>
      <c r="AB85" s="146"/>
      <c r="AC85" s="146"/>
      <c r="AD85" s="146"/>
      <c r="AE85" s="146"/>
      <c r="AF85" s="146"/>
      <c r="AG85" s="146"/>
      <c r="AH85" s="146"/>
    </row>
    <row r="86" spans="1:34" ht="20.149999999999999" customHeight="1" x14ac:dyDescent="0.35">
      <c r="A86" s="18"/>
      <c r="B86" s="71"/>
      <c r="C86" s="71"/>
      <c r="D86" s="71"/>
      <c r="E86" s="71"/>
      <c r="F86" s="19"/>
      <c r="G86" s="19"/>
      <c r="H86" s="19"/>
      <c r="I86" s="19"/>
      <c r="J86" s="146"/>
      <c r="K86" s="146"/>
      <c r="L86" s="146"/>
      <c r="M86" s="146"/>
      <c r="N86" s="146"/>
      <c r="O86" s="146"/>
      <c r="P86" s="146"/>
      <c r="Q86" s="146"/>
      <c r="R86" s="146"/>
      <c r="S86" s="146"/>
      <c r="T86" s="146"/>
      <c r="U86" s="146"/>
      <c r="V86" s="146"/>
      <c r="W86" s="146"/>
      <c r="X86" s="146"/>
      <c r="Y86" s="146"/>
      <c r="Z86" s="146"/>
      <c r="AA86" s="146"/>
      <c r="AB86" s="146"/>
      <c r="AC86" s="146"/>
      <c r="AD86" s="146"/>
      <c r="AE86" s="146"/>
      <c r="AF86" s="146"/>
      <c r="AG86" s="146"/>
      <c r="AH86" s="146"/>
    </row>
    <row r="87" spans="1:34" ht="20.149999999999999" customHeight="1" x14ac:dyDescent="0.35">
      <c r="A87" s="18"/>
      <c r="B87" s="71"/>
      <c r="C87" s="71"/>
      <c r="D87" s="71"/>
      <c r="E87" s="71"/>
      <c r="F87" s="19"/>
      <c r="G87" s="19"/>
      <c r="H87" s="19"/>
      <c r="I87" s="19"/>
      <c r="J87" s="146"/>
      <c r="K87" s="146"/>
      <c r="L87" s="146"/>
      <c r="M87" s="146"/>
      <c r="N87" s="146"/>
      <c r="O87" s="146"/>
      <c r="P87" s="146"/>
      <c r="Q87" s="146"/>
      <c r="R87" s="146"/>
      <c r="S87" s="146"/>
      <c r="T87" s="146"/>
      <c r="U87" s="146"/>
      <c r="V87" s="146"/>
      <c r="W87" s="146"/>
      <c r="X87" s="146"/>
      <c r="Y87" s="146"/>
      <c r="Z87" s="146"/>
      <c r="AA87" s="146"/>
      <c r="AB87" s="146"/>
      <c r="AC87" s="146"/>
      <c r="AD87" s="146"/>
      <c r="AE87" s="146"/>
      <c r="AF87" s="146"/>
      <c r="AG87" s="146"/>
      <c r="AH87" s="146"/>
    </row>
    <row r="88" spans="1:34" ht="20.149999999999999" customHeight="1" x14ac:dyDescent="0.35">
      <c r="A88" s="18"/>
      <c r="B88" s="71"/>
      <c r="C88" s="71"/>
      <c r="D88" s="71"/>
      <c r="E88" s="71"/>
      <c r="F88" s="19"/>
      <c r="G88" s="19"/>
      <c r="H88" s="19"/>
      <c r="I88" s="19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6"/>
      <c r="AE88" s="146"/>
      <c r="AF88" s="146"/>
      <c r="AG88" s="146"/>
      <c r="AH88" s="146"/>
    </row>
    <row r="89" spans="1:34" ht="20.149999999999999" customHeight="1" x14ac:dyDescent="0.35">
      <c r="A89" s="18"/>
      <c r="B89" s="71"/>
      <c r="C89" s="71"/>
      <c r="D89" s="71"/>
      <c r="E89" s="71"/>
      <c r="F89" s="19"/>
      <c r="G89" s="19"/>
      <c r="H89" s="19"/>
      <c r="I89" s="19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</row>
    <row r="90" spans="1:34" ht="20.149999999999999" customHeight="1" x14ac:dyDescent="0.35">
      <c r="A90" s="18"/>
      <c r="B90" s="71"/>
      <c r="C90" s="71"/>
      <c r="D90" s="71"/>
      <c r="E90" s="71"/>
      <c r="F90" s="19"/>
      <c r="G90" s="19"/>
      <c r="H90" s="19"/>
      <c r="I90" s="19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</row>
    <row r="91" spans="1:34" ht="20.149999999999999" customHeight="1" x14ac:dyDescent="0.35">
      <c r="A91" s="18"/>
      <c r="B91" s="71"/>
      <c r="C91" s="71"/>
      <c r="D91" s="71"/>
      <c r="E91" s="71"/>
      <c r="F91" s="19"/>
      <c r="G91" s="19"/>
      <c r="H91" s="19"/>
      <c r="I91" s="19"/>
      <c r="J91" s="146"/>
      <c r="K91" s="146"/>
      <c r="L91" s="146"/>
      <c r="M91" s="146"/>
      <c r="N91" s="146"/>
      <c r="O91" s="146"/>
      <c r="P91" s="146"/>
      <c r="Q91" s="146"/>
      <c r="R91" s="146"/>
      <c r="S91" s="146"/>
      <c r="T91" s="146"/>
      <c r="U91" s="146"/>
      <c r="V91" s="146"/>
      <c r="W91" s="146"/>
      <c r="X91" s="146"/>
      <c r="Y91" s="146"/>
      <c r="Z91" s="146"/>
      <c r="AA91" s="146"/>
      <c r="AB91" s="146"/>
      <c r="AC91" s="146"/>
      <c r="AD91" s="146"/>
      <c r="AE91" s="146"/>
      <c r="AF91" s="146"/>
      <c r="AG91" s="146"/>
      <c r="AH91" s="146"/>
    </row>
    <row r="92" spans="1:34" ht="20.149999999999999" customHeight="1" x14ac:dyDescent="0.35">
      <c r="A92" s="18"/>
      <c r="B92" s="71"/>
      <c r="C92" s="71"/>
      <c r="D92" s="71"/>
      <c r="E92" s="71"/>
      <c r="F92" s="19"/>
      <c r="G92" s="19"/>
      <c r="H92" s="19"/>
      <c r="I92" s="19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</row>
    <row r="93" spans="1:34" ht="20.149999999999999" customHeight="1" x14ac:dyDescent="0.35">
      <c r="A93" s="18"/>
      <c r="B93" s="71"/>
      <c r="C93" s="71"/>
      <c r="D93" s="71"/>
      <c r="E93" s="71"/>
      <c r="F93" s="19"/>
      <c r="G93" s="19"/>
      <c r="H93" s="19"/>
      <c r="I93" s="19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6"/>
      <c r="AA93" s="146"/>
      <c r="AB93" s="146"/>
      <c r="AC93" s="146"/>
      <c r="AD93" s="146"/>
      <c r="AE93" s="146"/>
      <c r="AF93" s="146"/>
      <c r="AG93" s="146"/>
      <c r="AH93" s="146"/>
    </row>
    <row r="94" spans="1:34" ht="20.149999999999999" customHeight="1" x14ac:dyDescent="0.35">
      <c r="A94" s="18"/>
      <c r="B94" s="71"/>
      <c r="C94" s="71"/>
      <c r="D94" s="71"/>
      <c r="E94" s="71"/>
      <c r="F94" s="19"/>
      <c r="G94" s="19"/>
      <c r="H94" s="19"/>
      <c r="I94" s="19"/>
      <c r="J94" s="146"/>
      <c r="K94" s="146"/>
      <c r="L94" s="146"/>
      <c r="M94" s="146"/>
      <c r="N94" s="146"/>
      <c r="O94" s="146"/>
      <c r="P94" s="146"/>
      <c r="Q94" s="146"/>
      <c r="R94" s="146"/>
      <c r="S94" s="146"/>
      <c r="T94" s="146"/>
      <c r="U94" s="146"/>
      <c r="V94" s="146"/>
      <c r="W94" s="146"/>
      <c r="X94" s="146"/>
      <c r="Y94" s="146"/>
      <c r="Z94" s="146"/>
      <c r="AA94" s="146"/>
      <c r="AB94" s="146"/>
      <c r="AC94" s="146"/>
      <c r="AD94" s="146"/>
      <c r="AE94" s="146"/>
      <c r="AF94" s="146"/>
      <c r="AG94" s="146"/>
      <c r="AH94" s="146"/>
    </row>
    <row r="95" spans="1:34" ht="20.149999999999999" customHeight="1" x14ac:dyDescent="0.35">
      <c r="A95" s="18"/>
      <c r="B95" s="71"/>
      <c r="C95" s="71"/>
      <c r="D95" s="71"/>
      <c r="E95" s="71"/>
      <c r="F95" s="19"/>
      <c r="G95" s="19"/>
      <c r="H95" s="19"/>
      <c r="I95" s="19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</row>
    <row r="96" spans="1:34" ht="20.149999999999999" customHeight="1" x14ac:dyDescent="0.35">
      <c r="A96" s="18"/>
      <c r="B96" s="71"/>
      <c r="C96" s="71"/>
      <c r="D96" s="71"/>
      <c r="E96" s="71"/>
      <c r="F96" s="19"/>
      <c r="G96" s="19"/>
      <c r="H96" s="19"/>
      <c r="I96" s="19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6"/>
      <c r="AH96" s="146"/>
    </row>
    <row r="97" spans="1:34" ht="20.149999999999999" customHeight="1" x14ac:dyDescent="0.35">
      <c r="A97" s="18"/>
      <c r="B97" s="71"/>
      <c r="C97" s="71"/>
      <c r="D97" s="71"/>
      <c r="E97" s="71"/>
      <c r="F97" s="19"/>
      <c r="G97" s="19"/>
      <c r="H97" s="19"/>
      <c r="I97" s="19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</row>
    <row r="98" spans="1:34" ht="20.149999999999999" customHeight="1" x14ac:dyDescent="0.35">
      <c r="A98" s="18"/>
      <c r="B98" s="71"/>
      <c r="C98" s="71"/>
      <c r="D98" s="71"/>
      <c r="E98" s="71"/>
      <c r="F98" s="19"/>
      <c r="G98" s="19"/>
      <c r="H98" s="19"/>
      <c r="I98" s="19"/>
      <c r="J98" s="146"/>
      <c r="K98" s="146"/>
      <c r="L98" s="146"/>
      <c r="M98" s="146"/>
      <c r="N98" s="146"/>
      <c r="O98" s="146"/>
      <c r="P98" s="146"/>
      <c r="Q98" s="146"/>
      <c r="R98" s="146"/>
      <c r="S98" s="146"/>
      <c r="T98" s="146"/>
      <c r="U98" s="146"/>
      <c r="V98" s="146"/>
      <c r="W98" s="146"/>
      <c r="X98" s="146"/>
      <c r="Y98" s="146"/>
      <c r="Z98" s="146"/>
      <c r="AA98" s="146"/>
      <c r="AB98" s="146"/>
      <c r="AC98" s="146"/>
      <c r="AD98" s="146"/>
      <c r="AE98" s="146"/>
      <c r="AF98" s="146"/>
      <c r="AG98" s="146"/>
      <c r="AH98" s="146"/>
    </row>
    <row r="99" spans="1:34" ht="20.149999999999999" customHeight="1" x14ac:dyDescent="0.35">
      <c r="A99" s="18"/>
      <c r="B99" s="71"/>
      <c r="C99" s="71"/>
      <c r="D99" s="71"/>
      <c r="E99" s="71"/>
      <c r="F99" s="19"/>
      <c r="G99" s="19"/>
      <c r="H99" s="19"/>
      <c r="I99" s="19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/>
      <c r="U99" s="146"/>
      <c r="V99" s="146"/>
      <c r="W99" s="146"/>
      <c r="X99" s="146"/>
      <c r="Y99" s="146"/>
      <c r="Z99" s="146"/>
      <c r="AA99" s="146"/>
      <c r="AB99" s="146"/>
      <c r="AC99" s="146"/>
      <c r="AD99" s="146"/>
      <c r="AE99" s="146"/>
      <c r="AF99" s="146"/>
      <c r="AG99" s="146"/>
      <c r="AH99" s="146"/>
    </row>
    <row r="100" spans="1:34" ht="20.149999999999999" customHeight="1" x14ac:dyDescent="0.35">
      <c r="A100" s="18"/>
      <c r="B100" s="71"/>
      <c r="C100" s="71"/>
      <c r="D100" s="71"/>
      <c r="E100" s="71"/>
      <c r="F100" s="19"/>
      <c r="G100" s="19"/>
      <c r="H100" s="19"/>
      <c r="I100" s="19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/>
      <c r="U100" s="146"/>
      <c r="V100" s="146"/>
      <c r="W100" s="146"/>
      <c r="X100" s="146"/>
      <c r="Y100" s="146"/>
      <c r="Z100" s="146"/>
      <c r="AA100" s="146"/>
      <c r="AB100" s="146"/>
      <c r="AC100" s="146"/>
      <c r="AD100" s="146"/>
      <c r="AE100" s="146"/>
      <c r="AF100" s="146"/>
      <c r="AG100" s="146"/>
      <c r="AH100" s="146"/>
    </row>
    <row r="101" spans="1:34" ht="20.149999999999999" customHeight="1" x14ac:dyDescent="0.35">
      <c r="A101" s="18"/>
      <c r="B101" s="71"/>
      <c r="C101" s="71"/>
      <c r="D101" s="71"/>
      <c r="E101" s="71"/>
      <c r="F101" s="19"/>
      <c r="G101" s="19"/>
      <c r="H101" s="19"/>
      <c r="I101" s="19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</row>
    <row r="102" spans="1:34" ht="20.149999999999999" customHeight="1" x14ac:dyDescent="0.35">
      <c r="A102" s="18"/>
      <c r="B102" s="71"/>
      <c r="C102" s="71"/>
      <c r="D102" s="71"/>
      <c r="E102" s="71"/>
      <c r="F102" s="19"/>
      <c r="G102" s="19"/>
      <c r="H102" s="19"/>
      <c r="I102" s="19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</row>
    <row r="103" spans="1:34" ht="20.149999999999999" customHeight="1" x14ac:dyDescent="0.35">
      <c r="A103" s="18"/>
      <c r="B103" s="71"/>
      <c r="C103" s="71"/>
      <c r="D103" s="71"/>
      <c r="E103" s="71"/>
      <c r="F103" s="19"/>
      <c r="G103" s="19"/>
      <c r="H103" s="19"/>
      <c r="I103" s="19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/>
      <c r="V103" s="146"/>
      <c r="W103" s="146"/>
      <c r="X103" s="146"/>
      <c r="Y103" s="146"/>
      <c r="Z103" s="146"/>
      <c r="AA103" s="146"/>
      <c r="AB103" s="146"/>
      <c r="AC103" s="146"/>
      <c r="AD103" s="146"/>
      <c r="AE103" s="146"/>
      <c r="AF103" s="146"/>
      <c r="AG103" s="146"/>
      <c r="AH103" s="146"/>
    </row>
    <row r="104" spans="1:34" ht="20.149999999999999" customHeight="1" x14ac:dyDescent="0.35">
      <c r="A104" s="18"/>
      <c r="B104" s="71"/>
      <c r="C104" s="71"/>
      <c r="D104" s="71"/>
      <c r="E104" s="71"/>
      <c r="F104" s="19"/>
      <c r="G104" s="19"/>
      <c r="H104" s="19"/>
      <c r="I104" s="19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</row>
    <row r="105" spans="1:34" ht="20.149999999999999" customHeight="1" x14ac:dyDescent="0.35">
      <c r="A105" s="18"/>
      <c r="B105" s="71"/>
      <c r="C105" s="71"/>
      <c r="D105" s="71"/>
      <c r="E105" s="71"/>
      <c r="F105" s="19"/>
      <c r="G105" s="19"/>
      <c r="H105" s="19"/>
      <c r="I105" s="19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</row>
    <row r="106" spans="1:34" ht="20.149999999999999" customHeight="1" x14ac:dyDescent="0.35">
      <c r="A106" s="18"/>
      <c r="B106" s="71"/>
      <c r="C106" s="71"/>
      <c r="D106" s="71"/>
      <c r="E106" s="71"/>
      <c r="F106" s="19"/>
      <c r="G106" s="19"/>
      <c r="H106" s="19"/>
      <c r="I106" s="19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</row>
    <row r="107" spans="1:34" ht="20.149999999999999" customHeight="1" x14ac:dyDescent="0.35">
      <c r="A107" s="18"/>
      <c r="B107" s="71"/>
      <c r="C107" s="71"/>
      <c r="D107" s="71"/>
      <c r="E107" s="71"/>
      <c r="F107" s="19"/>
      <c r="G107" s="19"/>
      <c r="H107" s="19"/>
      <c r="I107" s="19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46"/>
      <c r="AH107" s="146"/>
    </row>
    <row r="108" spans="1:34" ht="20.149999999999999" customHeight="1" x14ac:dyDescent="0.35">
      <c r="A108" s="18"/>
      <c r="B108" s="71"/>
      <c r="C108" s="71"/>
      <c r="D108" s="71"/>
      <c r="E108" s="71"/>
      <c r="F108" s="19"/>
      <c r="G108" s="19"/>
      <c r="H108" s="19"/>
      <c r="I108" s="19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</row>
    <row r="109" spans="1:34" ht="20.149999999999999" customHeight="1" x14ac:dyDescent="0.35">
      <c r="A109" s="18"/>
      <c r="B109" s="71"/>
      <c r="C109" s="71"/>
      <c r="D109" s="71"/>
      <c r="E109" s="71"/>
      <c r="F109" s="19"/>
      <c r="G109" s="19"/>
      <c r="H109" s="19"/>
      <c r="I109" s="19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</row>
    <row r="110" spans="1:34" ht="20.149999999999999" customHeight="1" x14ac:dyDescent="0.35">
      <c r="A110" s="18"/>
      <c r="B110" s="71"/>
      <c r="C110" s="71"/>
      <c r="D110" s="71"/>
      <c r="E110" s="71"/>
      <c r="F110" s="19"/>
      <c r="G110" s="19"/>
      <c r="H110" s="19"/>
      <c r="I110" s="19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</row>
    <row r="111" spans="1:34" ht="20.149999999999999" customHeight="1" x14ac:dyDescent="0.35">
      <c r="A111" s="18"/>
      <c r="B111" s="71"/>
      <c r="C111" s="71"/>
      <c r="D111" s="71"/>
      <c r="E111" s="71"/>
      <c r="F111" s="19"/>
      <c r="G111" s="19"/>
      <c r="H111" s="19"/>
      <c r="I111" s="19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</row>
    <row r="112" spans="1:34" ht="20.149999999999999" customHeight="1" x14ac:dyDescent="0.35">
      <c r="A112" s="18"/>
      <c r="B112" s="71"/>
      <c r="C112" s="71"/>
      <c r="D112" s="71"/>
      <c r="E112" s="71"/>
      <c r="F112" s="19"/>
      <c r="G112" s="19"/>
      <c r="H112" s="19"/>
      <c r="I112" s="19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  <c r="AE112" s="146"/>
      <c r="AF112" s="146"/>
      <c r="AG112" s="146"/>
      <c r="AH112" s="146"/>
    </row>
    <row r="113" spans="1:34" ht="20.149999999999999" customHeight="1" x14ac:dyDescent="0.35">
      <c r="A113" s="18"/>
      <c r="B113" s="71"/>
      <c r="C113" s="71"/>
      <c r="D113" s="71"/>
      <c r="E113" s="71"/>
      <c r="F113" s="19"/>
      <c r="G113" s="19"/>
      <c r="H113" s="19"/>
      <c r="I113" s="19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  <c r="AE113" s="146"/>
      <c r="AF113" s="146"/>
      <c r="AG113" s="146"/>
      <c r="AH113" s="146"/>
    </row>
    <row r="114" spans="1:34" ht="20.149999999999999" customHeight="1" x14ac:dyDescent="0.35">
      <c r="A114" s="18"/>
      <c r="B114" s="71"/>
      <c r="C114" s="71"/>
      <c r="D114" s="71"/>
      <c r="E114" s="71"/>
      <c r="F114" s="19"/>
      <c r="G114" s="19"/>
      <c r="H114" s="19"/>
      <c r="I114" s="19"/>
      <c r="J114" s="146"/>
      <c r="K114" s="146"/>
      <c r="L114" s="146"/>
      <c r="M114" s="146"/>
      <c r="N114" s="146"/>
      <c r="O114" s="146"/>
      <c r="P114" s="146"/>
      <c r="Q114" s="146"/>
      <c r="R114" s="146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  <c r="AE114" s="146"/>
      <c r="AF114" s="146"/>
      <c r="AG114" s="146"/>
      <c r="AH114" s="146"/>
    </row>
    <row r="115" spans="1:34" ht="20.149999999999999" customHeight="1" x14ac:dyDescent="0.35">
      <c r="A115" s="18"/>
      <c r="B115" s="71"/>
      <c r="C115" s="71"/>
      <c r="D115" s="71"/>
      <c r="E115" s="71"/>
      <c r="F115" s="19"/>
      <c r="G115" s="19"/>
      <c r="H115" s="19"/>
      <c r="I115" s="19"/>
      <c r="J115" s="146"/>
      <c r="K115" s="146"/>
      <c r="L115" s="146"/>
      <c r="M115" s="146"/>
      <c r="N115" s="146"/>
      <c r="O115" s="146"/>
      <c r="P115" s="146"/>
      <c r="Q115" s="146"/>
      <c r="R115" s="146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  <c r="AE115" s="146"/>
      <c r="AF115" s="146"/>
      <c r="AG115" s="146"/>
      <c r="AH115" s="146"/>
    </row>
    <row r="116" spans="1:34" ht="20.149999999999999" customHeight="1" x14ac:dyDescent="0.35">
      <c r="A116" s="18"/>
      <c r="B116" s="71"/>
      <c r="C116" s="71"/>
      <c r="D116" s="71"/>
      <c r="E116" s="71"/>
      <c r="F116" s="19"/>
      <c r="G116" s="19"/>
      <c r="H116" s="19"/>
      <c r="I116" s="19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  <c r="AE116" s="146"/>
      <c r="AF116" s="146"/>
      <c r="AG116" s="146"/>
      <c r="AH116" s="146"/>
    </row>
    <row r="117" spans="1:34" ht="20.149999999999999" customHeight="1" x14ac:dyDescent="0.35">
      <c r="A117" s="18"/>
      <c r="B117" s="71"/>
      <c r="C117" s="71"/>
      <c r="D117" s="71"/>
      <c r="E117" s="71"/>
      <c r="F117" s="19"/>
      <c r="G117" s="19"/>
      <c r="H117" s="19"/>
      <c r="I117" s="19"/>
      <c r="J117" s="146"/>
      <c r="K117" s="146"/>
      <c r="L117" s="146"/>
      <c r="M117" s="146"/>
      <c r="N117" s="146"/>
      <c r="O117" s="146"/>
      <c r="P117" s="146"/>
      <c r="Q117" s="146"/>
      <c r="R117" s="146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  <c r="AE117" s="146"/>
      <c r="AF117" s="146"/>
      <c r="AG117" s="146"/>
      <c r="AH117" s="146"/>
    </row>
    <row r="118" spans="1:34" ht="20.149999999999999" customHeight="1" x14ac:dyDescent="0.35">
      <c r="A118" s="18"/>
      <c r="B118" s="71"/>
      <c r="C118" s="71"/>
      <c r="D118" s="71"/>
      <c r="E118" s="71"/>
      <c r="F118" s="19"/>
      <c r="G118" s="19"/>
      <c r="H118" s="19"/>
      <c r="I118" s="19"/>
      <c r="J118" s="146"/>
      <c r="K118" s="146"/>
      <c r="L118" s="146"/>
      <c r="M118" s="146"/>
      <c r="N118" s="146"/>
      <c r="O118" s="146"/>
      <c r="P118" s="146"/>
      <c r="Q118" s="146"/>
      <c r="R118" s="146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  <c r="AE118" s="146"/>
      <c r="AF118" s="146"/>
      <c r="AG118" s="146"/>
      <c r="AH118" s="146"/>
    </row>
    <row r="119" spans="1:34" ht="20.149999999999999" customHeight="1" x14ac:dyDescent="0.35">
      <c r="A119" s="18"/>
      <c r="B119" s="71"/>
      <c r="C119" s="71"/>
      <c r="D119" s="71"/>
      <c r="E119" s="71"/>
      <c r="F119" s="19"/>
      <c r="G119" s="19"/>
      <c r="H119" s="19"/>
      <c r="I119" s="19"/>
      <c r="J119" s="146"/>
      <c r="K119" s="146"/>
      <c r="L119" s="146"/>
      <c r="M119" s="146"/>
      <c r="N119" s="146"/>
      <c r="O119" s="146"/>
      <c r="P119" s="146"/>
      <c r="Q119" s="146"/>
      <c r="R119" s="146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  <c r="AE119" s="146"/>
      <c r="AF119" s="146"/>
      <c r="AG119" s="146"/>
      <c r="AH119" s="146"/>
    </row>
    <row r="120" spans="1:34" ht="20.149999999999999" customHeight="1" x14ac:dyDescent="0.35">
      <c r="A120" s="18"/>
      <c r="B120" s="71"/>
      <c r="C120" s="71"/>
      <c r="D120" s="71"/>
      <c r="E120" s="71"/>
      <c r="F120" s="19"/>
      <c r="G120" s="19"/>
      <c r="H120" s="19"/>
      <c r="I120" s="19"/>
      <c r="J120" s="146"/>
      <c r="K120" s="146"/>
      <c r="L120" s="146"/>
      <c r="M120" s="146"/>
      <c r="N120" s="146"/>
      <c r="O120" s="146"/>
      <c r="P120" s="146"/>
      <c r="Q120" s="146"/>
      <c r="R120" s="146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  <c r="AE120" s="146"/>
      <c r="AF120" s="146"/>
      <c r="AG120" s="146"/>
      <c r="AH120" s="146"/>
    </row>
    <row r="121" spans="1:34" ht="20.149999999999999" customHeight="1" x14ac:dyDescent="0.35">
      <c r="A121" s="18"/>
      <c r="B121" s="71"/>
      <c r="C121" s="71"/>
      <c r="D121" s="71"/>
      <c r="E121" s="71"/>
      <c r="F121" s="19"/>
      <c r="G121" s="19"/>
      <c r="H121" s="19"/>
      <c r="I121" s="19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  <c r="AE121" s="146"/>
      <c r="AF121" s="146"/>
      <c r="AG121" s="146"/>
      <c r="AH121" s="146"/>
    </row>
    <row r="122" spans="1:34" ht="20.149999999999999" customHeight="1" x14ac:dyDescent="0.35">
      <c r="A122" s="18"/>
      <c r="B122" s="71"/>
      <c r="C122" s="71"/>
      <c r="D122" s="71"/>
      <c r="E122" s="71"/>
      <c r="F122" s="19"/>
      <c r="G122" s="19"/>
      <c r="H122" s="19"/>
      <c r="I122" s="19"/>
      <c r="J122" s="146"/>
      <c r="K122" s="146"/>
      <c r="L122" s="146"/>
      <c r="M122" s="146"/>
      <c r="N122" s="146"/>
      <c r="O122" s="146"/>
      <c r="P122" s="146"/>
      <c r="Q122" s="146"/>
      <c r="R122" s="146"/>
      <c r="S122" s="146"/>
      <c r="T122" s="146"/>
      <c r="U122" s="146"/>
      <c r="V122" s="146"/>
      <c r="W122" s="146"/>
      <c r="X122" s="146"/>
      <c r="Y122" s="146"/>
      <c r="Z122" s="146"/>
      <c r="AA122" s="146"/>
      <c r="AB122" s="146"/>
      <c r="AC122" s="146"/>
      <c r="AD122" s="146"/>
      <c r="AE122" s="146"/>
      <c r="AF122" s="146"/>
      <c r="AG122" s="146"/>
      <c r="AH122" s="146"/>
    </row>
    <row r="123" spans="1:34" ht="20.149999999999999" customHeight="1" x14ac:dyDescent="0.35">
      <c r="A123" s="18"/>
      <c r="B123" s="71"/>
      <c r="C123" s="71"/>
      <c r="D123" s="71"/>
      <c r="E123" s="71"/>
      <c r="F123" s="19"/>
      <c r="G123" s="19"/>
      <c r="H123" s="19"/>
      <c r="I123" s="19"/>
      <c r="J123" s="146"/>
      <c r="K123" s="146"/>
      <c r="L123" s="146"/>
      <c r="M123" s="146"/>
      <c r="N123" s="146"/>
      <c r="O123" s="146"/>
      <c r="P123" s="146"/>
      <c r="Q123" s="146"/>
      <c r="R123" s="146"/>
      <c r="S123" s="146"/>
      <c r="T123" s="146"/>
      <c r="U123" s="146"/>
      <c r="V123" s="146"/>
      <c r="W123" s="146"/>
      <c r="X123" s="146"/>
      <c r="Y123" s="146"/>
      <c r="Z123" s="146"/>
      <c r="AA123" s="146"/>
      <c r="AB123" s="146"/>
      <c r="AC123" s="146"/>
      <c r="AD123" s="146"/>
      <c r="AE123" s="146"/>
      <c r="AF123" s="146"/>
      <c r="AG123" s="146"/>
      <c r="AH123" s="146"/>
    </row>
    <row r="124" spans="1:34" ht="20.149999999999999" customHeight="1" x14ac:dyDescent="0.35">
      <c r="A124" s="18"/>
      <c r="B124" s="71"/>
      <c r="C124" s="71"/>
      <c r="D124" s="71"/>
      <c r="E124" s="71"/>
      <c r="F124" s="19"/>
      <c r="G124" s="19"/>
      <c r="H124" s="19"/>
      <c r="I124" s="19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6"/>
      <c r="AE124" s="146"/>
      <c r="AF124" s="146"/>
      <c r="AG124" s="146"/>
      <c r="AH124" s="146"/>
    </row>
    <row r="125" spans="1:34" ht="20.149999999999999" customHeight="1" x14ac:dyDescent="0.35">
      <c r="A125" s="18"/>
      <c r="B125" s="71"/>
      <c r="C125" s="71"/>
      <c r="D125" s="71"/>
      <c r="E125" s="71"/>
      <c r="F125" s="19"/>
      <c r="G125" s="19"/>
      <c r="H125" s="19"/>
      <c r="I125" s="19"/>
      <c r="J125" s="146"/>
      <c r="K125" s="146"/>
      <c r="L125" s="146"/>
      <c r="M125" s="146"/>
      <c r="N125" s="146"/>
      <c r="O125" s="146"/>
      <c r="P125" s="146"/>
      <c r="Q125" s="146"/>
      <c r="R125" s="146"/>
      <c r="S125" s="146"/>
      <c r="T125" s="146"/>
      <c r="U125" s="146"/>
      <c r="V125" s="146"/>
      <c r="W125" s="146"/>
      <c r="X125" s="146"/>
      <c r="Y125" s="146"/>
      <c r="Z125" s="146"/>
      <c r="AA125" s="146"/>
      <c r="AB125" s="146"/>
      <c r="AC125" s="146"/>
      <c r="AD125" s="146"/>
      <c r="AE125" s="146"/>
      <c r="AF125" s="146"/>
      <c r="AG125" s="146"/>
      <c r="AH125" s="146"/>
    </row>
    <row r="126" spans="1:34" ht="20.149999999999999" customHeight="1" x14ac:dyDescent="0.35">
      <c r="A126" s="18"/>
      <c r="B126" s="71"/>
      <c r="C126" s="71"/>
      <c r="D126" s="71"/>
      <c r="E126" s="71"/>
      <c r="F126" s="19"/>
      <c r="G126" s="19"/>
      <c r="H126" s="19"/>
      <c r="I126" s="19"/>
      <c r="J126" s="146"/>
      <c r="K126" s="146"/>
      <c r="L126" s="146"/>
      <c r="M126" s="146"/>
      <c r="N126" s="146"/>
      <c r="O126" s="146"/>
      <c r="P126" s="146"/>
      <c r="Q126" s="146"/>
      <c r="R126" s="146"/>
      <c r="S126" s="146"/>
      <c r="T126" s="146"/>
      <c r="U126" s="146"/>
      <c r="V126" s="146"/>
      <c r="W126" s="146"/>
      <c r="X126" s="146"/>
      <c r="Y126" s="146"/>
      <c r="Z126" s="146"/>
      <c r="AA126" s="146"/>
      <c r="AB126" s="146"/>
      <c r="AC126" s="146"/>
      <c r="AD126" s="146"/>
      <c r="AE126" s="146"/>
      <c r="AF126" s="146"/>
      <c r="AG126" s="146"/>
      <c r="AH126" s="146"/>
    </row>
    <row r="127" spans="1:34" ht="20.149999999999999" customHeight="1" x14ac:dyDescent="0.35">
      <c r="A127" s="18"/>
      <c r="B127" s="71"/>
      <c r="C127" s="71"/>
      <c r="D127" s="71"/>
      <c r="E127" s="71"/>
      <c r="F127" s="19"/>
      <c r="G127" s="19"/>
      <c r="H127" s="19"/>
      <c r="I127" s="19"/>
      <c r="J127" s="146"/>
      <c r="K127" s="146"/>
      <c r="L127" s="146"/>
      <c r="M127" s="146"/>
      <c r="N127" s="146"/>
      <c r="O127" s="146"/>
      <c r="P127" s="146"/>
      <c r="Q127" s="146"/>
      <c r="R127" s="146"/>
      <c r="S127" s="146"/>
      <c r="T127" s="146"/>
      <c r="U127" s="146"/>
      <c r="V127" s="146"/>
      <c r="W127" s="146"/>
      <c r="X127" s="146"/>
      <c r="Y127" s="146"/>
      <c r="Z127" s="146"/>
      <c r="AA127" s="146"/>
      <c r="AB127" s="146"/>
      <c r="AC127" s="146"/>
      <c r="AD127" s="146"/>
      <c r="AE127" s="146"/>
      <c r="AF127" s="146"/>
      <c r="AG127" s="146"/>
      <c r="AH127" s="146"/>
    </row>
    <row r="128" spans="1:34" ht="20.149999999999999" customHeight="1" x14ac:dyDescent="0.35">
      <c r="A128" s="18"/>
      <c r="B128" s="71"/>
      <c r="C128" s="71"/>
      <c r="D128" s="71"/>
      <c r="E128" s="71"/>
      <c r="F128" s="19"/>
      <c r="G128" s="19"/>
      <c r="H128" s="19"/>
      <c r="I128" s="19"/>
      <c r="J128" s="146"/>
      <c r="K128" s="146"/>
      <c r="L128" s="146"/>
      <c r="M128" s="146"/>
      <c r="N128" s="146"/>
      <c r="O128" s="146"/>
      <c r="P128" s="146"/>
      <c r="Q128" s="146"/>
      <c r="R128" s="146"/>
      <c r="S128" s="146"/>
      <c r="T128" s="146"/>
      <c r="U128" s="146"/>
      <c r="V128" s="146"/>
      <c r="W128" s="146"/>
      <c r="X128" s="146"/>
      <c r="Y128" s="146"/>
      <c r="Z128" s="146"/>
      <c r="AA128" s="146"/>
      <c r="AB128" s="146"/>
      <c r="AC128" s="146"/>
      <c r="AD128" s="146"/>
      <c r="AE128" s="146"/>
      <c r="AF128" s="146"/>
      <c r="AG128" s="146"/>
      <c r="AH128" s="146"/>
    </row>
    <row r="129" spans="1:34" ht="20.149999999999999" customHeight="1" x14ac:dyDescent="0.35">
      <c r="A129" s="18"/>
      <c r="B129" s="71"/>
      <c r="C129" s="71"/>
      <c r="D129" s="71"/>
      <c r="E129" s="71"/>
      <c r="F129" s="19"/>
      <c r="G129" s="19"/>
      <c r="H129" s="19"/>
      <c r="I129" s="19"/>
      <c r="J129" s="146"/>
      <c r="K129" s="146"/>
      <c r="L129" s="146"/>
      <c r="M129" s="146"/>
      <c r="N129" s="146"/>
      <c r="O129" s="146"/>
      <c r="P129" s="146"/>
      <c r="Q129" s="146"/>
      <c r="R129" s="146"/>
      <c r="S129" s="146"/>
      <c r="T129" s="146"/>
      <c r="U129" s="146"/>
      <c r="V129" s="146"/>
      <c r="W129" s="146"/>
      <c r="X129" s="146"/>
      <c r="Y129" s="146"/>
      <c r="Z129" s="146"/>
      <c r="AA129" s="146"/>
      <c r="AB129" s="146"/>
      <c r="AC129" s="146"/>
      <c r="AD129" s="146"/>
      <c r="AE129" s="146"/>
      <c r="AF129" s="146"/>
      <c r="AG129" s="146"/>
      <c r="AH129" s="146"/>
    </row>
    <row r="130" spans="1:34" ht="20.149999999999999" customHeight="1" x14ac:dyDescent="0.35">
      <c r="A130" s="18"/>
      <c r="B130" s="71"/>
      <c r="C130" s="71"/>
      <c r="D130" s="71"/>
      <c r="E130" s="71"/>
      <c r="F130" s="19"/>
      <c r="G130" s="19"/>
      <c r="H130" s="19"/>
      <c r="I130" s="19"/>
      <c r="J130" s="146"/>
      <c r="K130" s="146"/>
      <c r="L130" s="146"/>
      <c r="M130" s="146"/>
      <c r="N130" s="146"/>
      <c r="O130" s="146"/>
      <c r="P130" s="146"/>
      <c r="Q130" s="146"/>
      <c r="R130" s="146"/>
      <c r="S130" s="146"/>
      <c r="T130" s="146"/>
      <c r="U130" s="146"/>
      <c r="V130" s="146"/>
      <c r="W130" s="146"/>
      <c r="X130" s="146"/>
      <c r="Y130" s="146"/>
      <c r="Z130" s="146"/>
      <c r="AA130" s="146"/>
      <c r="AB130" s="146"/>
      <c r="AC130" s="146"/>
      <c r="AD130" s="146"/>
      <c r="AE130" s="146"/>
      <c r="AF130" s="146"/>
      <c r="AG130" s="146"/>
      <c r="AH130" s="146"/>
    </row>
    <row r="131" spans="1:34" ht="20.149999999999999" customHeight="1" x14ac:dyDescent="0.35">
      <c r="A131" s="18"/>
      <c r="B131" s="71"/>
      <c r="C131" s="71"/>
      <c r="D131" s="71"/>
      <c r="E131" s="71"/>
      <c r="F131" s="19"/>
      <c r="G131" s="19"/>
      <c r="H131" s="19"/>
      <c r="I131" s="19"/>
      <c r="J131" s="146"/>
      <c r="K131" s="146"/>
      <c r="L131" s="146"/>
      <c r="M131" s="146"/>
      <c r="N131" s="146"/>
      <c r="O131" s="146"/>
      <c r="P131" s="146"/>
      <c r="Q131" s="146"/>
      <c r="R131" s="146"/>
      <c r="S131" s="146"/>
      <c r="T131" s="146"/>
      <c r="U131" s="146"/>
      <c r="V131" s="146"/>
      <c r="W131" s="146"/>
      <c r="X131" s="146"/>
      <c r="Y131" s="146"/>
      <c r="Z131" s="146"/>
      <c r="AA131" s="146"/>
      <c r="AB131" s="146"/>
      <c r="AC131" s="146"/>
      <c r="AD131" s="146"/>
      <c r="AE131" s="146"/>
      <c r="AF131" s="146"/>
      <c r="AG131" s="146"/>
      <c r="AH131" s="146"/>
    </row>
    <row r="132" spans="1:34" ht="20.149999999999999" customHeight="1" x14ac:dyDescent="0.35">
      <c r="A132" s="18"/>
      <c r="B132" s="71"/>
      <c r="C132" s="71"/>
      <c r="D132" s="71"/>
      <c r="E132" s="71"/>
      <c r="F132" s="19"/>
      <c r="G132" s="19"/>
      <c r="H132" s="19"/>
      <c r="I132" s="19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  <c r="AB132" s="146"/>
      <c r="AC132" s="146"/>
      <c r="AD132" s="146"/>
      <c r="AE132" s="146"/>
      <c r="AF132" s="146"/>
      <c r="AG132" s="146"/>
      <c r="AH132" s="146"/>
    </row>
    <row r="133" spans="1:34" ht="20.149999999999999" customHeight="1" x14ac:dyDescent="0.35">
      <c r="A133" s="18"/>
      <c r="B133" s="71"/>
      <c r="C133" s="71"/>
      <c r="D133" s="71"/>
      <c r="E133" s="71"/>
      <c r="F133" s="19"/>
      <c r="G133" s="19"/>
      <c r="H133" s="19"/>
      <c r="I133" s="19"/>
      <c r="J133" s="146"/>
      <c r="K133" s="146"/>
      <c r="L133" s="146"/>
      <c r="M133" s="146"/>
      <c r="N133" s="146"/>
      <c r="O133" s="146"/>
      <c r="P133" s="146"/>
      <c r="Q133" s="146"/>
      <c r="R133" s="146"/>
      <c r="S133" s="146"/>
      <c r="T133" s="146"/>
      <c r="U133" s="146"/>
      <c r="V133" s="146"/>
      <c r="W133" s="146"/>
      <c r="X133" s="146"/>
      <c r="Y133" s="146"/>
      <c r="Z133" s="146"/>
      <c r="AA133" s="146"/>
      <c r="AB133" s="146"/>
      <c r="AC133" s="146"/>
      <c r="AD133" s="146"/>
      <c r="AE133" s="146"/>
      <c r="AF133" s="146"/>
      <c r="AG133" s="146"/>
      <c r="AH133" s="146"/>
    </row>
    <row r="134" spans="1:34" ht="20.149999999999999" customHeight="1" x14ac:dyDescent="0.35">
      <c r="A134" s="18"/>
      <c r="B134" s="71"/>
      <c r="C134" s="71"/>
      <c r="D134" s="71"/>
      <c r="E134" s="71"/>
      <c r="F134" s="19"/>
      <c r="G134" s="19"/>
      <c r="H134" s="19"/>
      <c r="I134" s="19"/>
      <c r="J134" s="146"/>
      <c r="K134" s="146"/>
      <c r="L134" s="146"/>
      <c r="M134" s="146"/>
      <c r="N134" s="146"/>
      <c r="O134" s="146"/>
      <c r="P134" s="146"/>
      <c r="Q134" s="146"/>
      <c r="R134" s="146"/>
      <c r="S134" s="146"/>
      <c r="T134" s="146"/>
      <c r="U134" s="146"/>
      <c r="V134" s="146"/>
      <c r="W134" s="146"/>
      <c r="X134" s="146"/>
      <c r="Y134" s="146"/>
      <c r="Z134" s="146"/>
      <c r="AA134" s="146"/>
      <c r="AB134" s="146"/>
      <c r="AC134" s="146"/>
      <c r="AD134" s="146"/>
      <c r="AE134" s="146"/>
      <c r="AF134" s="146"/>
      <c r="AG134" s="146"/>
      <c r="AH134" s="146"/>
    </row>
    <row r="135" spans="1:34" ht="20.149999999999999" customHeight="1" x14ac:dyDescent="0.35">
      <c r="A135" s="18"/>
      <c r="B135" s="71"/>
      <c r="C135" s="71"/>
      <c r="D135" s="71"/>
      <c r="E135" s="71"/>
      <c r="F135" s="19"/>
      <c r="G135" s="19"/>
      <c r="H135" s="19"/>
      <c r="I135" s="19"/>
      <c r="J135" s="146"/>
      <c r="K135" s="146"/>
      <c r="L135" s="146"/>
      <c r="M135" s="146"/>
      <c r="N135" s="146"/>
      <c r="O135" s="146"/>
      <c r="P135" s="146"/>
      <c r="Q135" s="146"/>
      <c r="R135" s="146"/>
      <c r="S135" s="146"/>
      <c r="T135" s="146"/>
      <c r="U135" s="146"/>
      <c r="V135" s="146"/>
      <c r="W135" s="146"/>
      <c r="X135" s="146"/>
      <c r="Y135" s="146"/>
      <c r="Z135" s="146"/>
      <c r="AA135" s="146"/>
      <c r="AB135" s="146"/>
      <c r="AC135" s="146"/>
      <c r="AD135" s="146"/>
      <c r="AE135" s="146"/>
      <c r="AF135" s="146"/>
      <c r="AG135" s="146"/>
      <c r="AH135" s="146"/>
    </row>
    <row r="136" spans="1:34" ht="20.149999999999999" customHeight="1" x14ac:dyDescent="0.35">
      <c r="A136" s="18"/>
      <c r="B136" s="71"/>
      <c r="C136" s="71"/>
      <c r="D136" s="71"/>
      <c r="E136" s="71"/>
      <c r="F136" s="19"/>
      <c r="G136" s="19"/>
      <c r="H136" s="19"/>
      <c r="I136" s="19"/>
      <c r="J136" s="146"/>
      <c r="K136" s="146"/>
      <c r="L136" s="146"/>
      <c r="M136" s="146"/>
      <c r="N136" s="146"/>
      <c r="O136" s="146"/>
      <c r="P136" s="146"/>
      <c r="Q136" s="146"/>
      <c r="R136" s="146"/>
      <c r="S136" s="146"/>
      <c r="T136" s="146"/>
      <c r="U136" s="146"/>
      <c r="V136" s="146"/>
      <c r="W136" s="146"/>
      <c r="X136" s="146"/>
      <c r="Y136" s="146"/>
      <c r="Z136" s="146"/>
      <c r="AA136" s="146"/>
      <c r="AB136" s="146"/>
      <c r="AC136" s="146"/>
      <c r="AD136" s="146"/>
      <c r="AE136" s="146"/>
      <c r="AF136" s="146"/>
      <c r="AG136" s="146"/>
      <c r="AH136" s="146"/>
    </row>
    <row r="137" spans="1:34" ht="20.149999999999999" customHeight="1" x14ac:dyDescent="0.35">
      <c r="A137" s="18"/>
      <c r="B137" s="71"/>
      <c r="C137" s="71"/>
      <c r="D137" s="71"/>
      <c r="E137" s="71"/>
      <c r="F137" s="19"/>
      <c r="G137" s="19"/>
      <c r="H137" s="19"/>
      <c r="I137" s="19"/>
      <c r="J137" s="146"/>
      <c r="K137" s="146"/>
      <c r="L137" s="146"/>
      <c r="M137" s="146"/>
      <c r="N137" s="146"/>
      <c r="O137" s="146"/>
      <c r="P137" s="146"/>
      <c r="Q137" s="146"/>
      <c r="R137" s="146"/>
      <c r="S137" s="146"/>
      <c r="T137" s="146"/>
      <c r="U137" s="146"/>
      <c r="V137" s="146"/>
      <c r="W137" s="146"/>
      <c r="X137" s="146"/>
      <c r="Y137" s="146"/>
      <c r="Z137" s="146"/>
      <c r="AA137" s="146"/>
      <c r="AB137" s="146"/>
      <c r="AC137" s="146"/>
      <c r="AD137" s="146"/>
      <c r="AE137" s="146"/>
      <c r="AF137" s="146"/>
      <c r="AG137" s="146"/>
      <c r="AH137" s="146"/>
    </row>
    <row r="138" spans="1:34" ht="20.149999999999999" customHeight="1" x14ac:dyDescent="0.35">
      <c r="A138" s="18"/>
      <c r="B138" s="71"/>
      <c r="C138" s="71"/>
      <c r="D138" s="71"/>
      <c r="E138" s="71"/>
      <c r="F138" s="19"/>
      <c r="G138" s="19"/>
      <c r="H138" s="19"/>
      <c r="I138" s="19"/>
      <c r="J138" s="146"/>
      <c r="K138" s="146"/>
      <c r="L138" s="146"/>
      <c r="M138" s="146"/>
      <c r="N138" s="146"/>
      <c r="O138" s="146"/>
      <c r="P138" s="146"/>
      <c r="Q138" s="146"/>
      <c r="R138" s="146"/>
      <c r="S138" s="146"/>
      <c r="T138" s="146"/>
      <c r="U138" s="146"/>
      <c r="V138" s="146"/>
      <c r="W138" s="146"/>
      <c r="X138" s="146"/>
      <c r="Y138" s="146"/>
      <c r="Z138" s="146"/>
      <c r="AA138" s="146"/>
      <c r="AB138" s="146"/>
      <c r="AC138" s="146"/>
      <c r="AD138" s="146"/>
      <c r="AE138" s="146"/>
      <c r="AF138" s="146"/>
      <c r="AG138" s="146"/>
      <c r="AH138" s="146"/>
    </row>
    <row r="139" spans="1:34" ht="20.149999999999999" customHeight="1" x14ac:dyDescent="0.35">
      <c r="A139" s="18"/>
      <c r="B139" s="71"/>
      <c r="C139" s="71"/>
      <c r="D139" s="71"/>
      <c r="E139" s="71"/>
      <c r="F139" s="19"/>
      <c r="G139" s="19"/>
      <c r="H139" s="19"/>
      <c r="I139" s="19"/>
      <c r="J139" s="146"/>
      <c r="K139" s="146"/>
      <c r="L139" s="146"/>
      <c r="M139" s="146"/>
      <c r="N139" s="146"/>
      <c r="O139" s="146"/>
      <c r="P139" s="146"/>
      <c r="Q139" s="146"/>
      <c r="R139" s="146"/>
      <c r="S139" s="146"/>
      <c r="T139" s="146"/>
      <c r="U139" s="146"/>
      <c r="V139" s="146"/>
      <c r="W139" s="146"/>
      <c r="X139" s="146"/>
      <c r="Y139" s="146"/>
      <c r="Z139" s="146"/>
      <c r="AA139" s="146"/>
      <c r="AB139" s="146"/>
      <c r="AC139" s="146"/>
      <c r="AD139" s="146"/>
      <c r="AE139" s="146"/>
      <c r="AF139" s="146"/>
      <c r="AG139" s="146"/>
      <c r="AH139" s="146"/>
    </row>
    <row r="140" spans="1:34" ht="20.149999999999999" customHeight="1" x14ac:dyDescent="0.35">
      <c r="A140" s="18"/>
      <c r="B140" s="71"/>
      <c r="C140" s="71"/>
      <c r="D140" s="71"/>
      <c r="E140" s="71"/>
      <c r="F140" s="19"/>
      <c r="G140" s="19"/>
      <c r="H140" s="19"/>
      <c r="I140" s="19"/>
      <c r="J140" s="146"/>
      <c r="K140" s="146"/>
      <c r="L140" s="146"/>
      <c r="M140" s="146"/>
      <c r="N140" s="146"/>
      <c r="O140" s="146"/>
      <c r="P140" s="146"/>
      <c r="Q140" s="146"/>
      <c r="R140" s="146"/>
      <c r="S140" s="146"/>
      <c r="T140" s="146"/>
      <c r="U140" s="146"/>
      <c r="V140" s="146"/>
      <c r="W140" s="146"/>
      <c r="X140" s="146"/>
      <c r="Y140" s="146"/>
      <c r="Z140" s="146"/>
      <c r="AA140" s="146"/>
      <c r="AB140" s="146"/>
      <c r="AC140" s="146"/>
      <c r="AD140" s="146"/>
      <c r="AE140" s="146"/>
      <c r="AF140" s="146"/>
      <c r="AG140" s="146"/>
      <c r="AH140" s="146"/>
    </row>
    <row r="141" spans="1:34" ht="20.149999999999999" customHeight="1" x14ac:dyDescent="0.35">
      <c r="A141" s="18"/>
      <c r="B141" s="71"/>
      <c r="C141" s="71"/>
      <c r="D141" s="71"/>
      <c r="E141" s="71"/>
      <c r="F141" s="19"/>
      <c r="G141" s="19"/>
      <c r="H141" s="19"/>
      <c r="I141" s="19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  <c r="AA141" s="146"/>
      <c r="AB141" s="146"/>
      <c r="AC141" s="146"/>
      <c r="AD141" s="146"/>
      <c r="AE141" s="146"/>
      <c r="AF141" s="146"/>
      <c r="AG141" s="146"/>
      <c r="AH141" s="146"/>
    </row>
    <row r="142" spans="1:34" ht="20.149999999999999" customHeight="1" x14ac:dyDescent="0.35">
      <c r="A142" s="18"/>
      <c r="B142" s="71"/>
      <c r="C142" s="71"/>
      <c r="D142" s="71"/>
      <c r="E142" s="71"/>
      <c r="F142" s="19"/>
      <c r="G142" s="19"/>
      <c r="H142" s="19"/>
      <c r="I142" s="19"/>
      <c r="J142" s="146"/>
      <c r="K142" s="146"/>
      <c r="L142" s="146"/>
      <c r="M142" s="146"/>
      <c r="N142" s="146"/>
      <c r="O142" s="146"/>
      <c r="P142" s="146"/>
      <c r="Q142" s="146"/>
      <c r="R142" s="146"/>
      <c r="S142" s="146"/>
      <c r="T142" s="146"/>
      <c r="U142" s="146"/>
      <c r="V142" s="146"/>
      <c r="W142" s="146"/>
      <c r="X142" s="146"/>
      <c r="Y142" s="146"/>
      <c r="Z142" s="146"/>
      <c r="AA142" s="146"/>
      <c r="AB142" s="146"/>
      <c r="AC142" s="146"/>
      <c r="AD142" s="146"/>
      <c r="AE142" s="146"/>
      <c r="AF142" s="146"/>
      <c r="AG142" s="146"/>
      <c r="AH142" s="146"/>
    </row>
    <row r="143" spans="1:34" ht="20.149999999999999" customHeight="1" x14ac:dyDescent="0.35">
      <c r="A143" s="18"/>
      <c r="B143" s="71"/>
      <c r="C143" s="71"/>
      <c r="D143" s="71"/>
      <c r="E143" s="71"/>
      <c r="F143" s="19"/>
      <c r="G143" s="19"/>
      <c r="H143" s="19"/>
      <c r="I143" s="19"/>
      <c r="J143" s="146"/>
      <c r="K143" s="146"/>
      <c r="L143" s="146"/>
      <c r="M143" s="146"/>
      <c r="N143" s="146"/>
      <c r="O143" s="146"/>
      <c r="P143" s="146"/>
      <c r="Q143" s="146"/>
      <c r="R143" s="146"/>
      <c r="S143" s="146"/>
      <c r="T143" s="146"/>
      <c r="U143" s="146"/>
      <c r="V143" s="146"/>
      <c r="W143" s="146"/>
      <c r="X143" s="146"/>
      <c r="Y143" s="146"/>
      <c r="Z143" s="146"/>
      <c r="AA143" s="146"/>
      <c r="AB143" s="146"/>
      <c r="AC143" s="146"/>
      <c r="AD143" s="146"/>
      <c r="AE143" s="146"/>
      <c r="AF143" s="146"/>
      <c r="AG143" s="146"/>
      <c r="AH143" s="146"/>
    </row>
    <row r="144" spans="1:34" ht="20.149999999999999" customHeight="1" x14ac:dyDescent="0.35">
      <c r="A144" s="18"/>
      <c r="B144" s="71"/>
      <c r="C144" s="71"/>
      <c r="D144" s="71"/>
      <c r="E144" s="71"/>
      <c r="F144" s="19"/>
      <c r="G144" s="19"/>
      <c r="H144" s="19"/>
      <c r="I144" s="19"/>
      <c r="J144" s="146"/>
      <c r="K144" s="146"/>
      <c r="L144" s="146"/>
      <c r="M144" s="146"/>
      <c r="N144" s="146"/>
      <c r="O144" s="146"/>
      <c r="P144" s="146"/>
      <c r="Q144" s="146"/>
      <c r="R144" s="146"/>
      <c r="S144" s="146"/>
      <c r="T144" s="146"/>
      <c r="U144" s="146"/>
      <c r="V144" s="146"/>
      <c r="W144" s="146"/>
      <c r="X144" s="146"/>
      <c r="Y144" s="146"/>
      <c r="Z144" s="146"/>
      <c r="AA144" s="146"/>
      <c r="AB144" s="146"/>
      <c r="AC144" s="146"/>
      <c r="AD144" s="146"/>
      <c r="AE144" s="146"/>
      <c r="AF144" s="146"/>
      <c r="AG144" s="146"/>
      <c r="AH144" s="146"/>
    </row>
    <row r="145" spans="1:34" ht="20.149999999999999" customHeight="1" x14ac:dyDescent="0.35">
      <c r="A145" s="18"/>
      <c r="B145" s="71"/>
      <c r="C145" s="71"/>
      <c r="D145" s="71"/>
      <c r="E145" s="71"/>
      <c r="F145" s="19"/>
      <c r="G145" s="19"/>
      <c r="H145" s="19"/>
      <c r="I145" s="19"/>
      <c r="J145" s="146"/>
      <c r="K145" s="146"/>
      <c r="L145" s="146"/>
      <c r="M145" s="146"/>
      <c r="N145" s="146"/>
      <c r="O145" s="146"/>
      <c r="P145" s="146"/>
      <c r="Q145" s="146"/>
      <c r="R145" s="146"/>
      <c r="S145" s="146"/>
      <c r="T145" s="146"/>
      <c r="U145" s="146"/>
      <c r="V145" s="146"/>
      <c r="W145" s="146"/>
      <c r="X145" s="146"/>
      <c r="Y145" s="146"/>
      <c r="Z145" s="146"/>
      <c r="AA145" s="146"/>
      <c r="AB145" s="146"/>
      <c r="AC145" s="146"/>
      <c r="AD145" s="146"/>
      <c r="AE145" s="146"/>
      <c r="AF145" s="146"/>
      <c r="AG145" s="146"/>
      <c r="AH145" s="146"/>
    </row>
    <row r="146" spans="1:34" ht="20.149999999999999" customHeight="1" x14ac:dyDescent="0.35">
      <c r="A146" s="18"/>
      <c r="B146" s="71"/>
      <c r="C146" s="71"/>
      <c r="D146" s="71"/>
      <c r="E146" s="71"/>
      <c r="F146" s="19"/>
      <c r="G146" s="19"/>
      <c r="H146" s="19"/>
      <c r="I146" s="19"/>
      <c r="J146" s="146"/>
      <c r="K146" s="146"/>
      <c r="L146" s="146"/>
      <c r="M146" s="146"/>
      <c r="N146" s="146"/>
      <c r="O146" s="146"/>
      <c r="P146" s="146"/>
      <c r="Q146" s="146"/>
      <c r="R146" s="146"/>
      <c r="S146" s="146"/>
      <c r="T146" s="146"/>
      <c r="U146" s="146"/>
      <c r="V146" s="146"/>
      <c r="W146" s="146"/>
      <c r="X146" s="146"/>
      <c r="Y146" s="146"/>
      <c r="Z146" s="146"/>
      <c r="AA146" s="146"/>
      <c r="AB146" s="146"/>
      <c r="AC146" s="146"/>
      <c r="AD146" s="146"/>
      <c r="AE146" s="146"/>
      <c r="AF146" s="146"/>
      <c r="AG146" s="146"/>
      <c r="AH146" s="146"/>
    </row>
    <row r="147" spans="1:34" ht="20.149999999999999" customHeight="1" x14ac:dyDescent="0.35">
      <c r="A147" s="18"/>
      <c r="B147" s="71"/>
      <c r="C147" s="71"/>
      <c r="D147" s="71"/>
      <c r="E147" s="71"/>
      <c r="F147" s="19"/>
      <c r="G147" s="19"/>
      <c r="H147" s="19"/>
      <c r="I147" s="19"/>
      <c r="J147" s="146"/>
      <c r="K147" s="146"/>
      <c r="L147" s="146"/>
      <c r="M147" s="146"/>
      <c r="N147" s="146"/>
      <c r="O147" s="146"/>
      <c r="P147" s="146"/>
      <c r="Q147" s="146"/>
      <c r="R147" s="146"/>
      <c r="S147" s="146"/>
      <c r="T147" s="146"/>
      <c r="U147" s="146"/>
      <c r="V147" s="146"/>
      <c r="W147" s="146"/>
      <c r="X147" s="146"/>
      <c r="Y147" s="146"/>
      <c r="Z147" s="146"/>
      <c r="AA147" s="146"/>
      <c r="AB147" s="146"/>
      <c r="AC147" s="146"/>
      <c r="AD147" s="146"/>
      <c r="AE147" s="146"/>
      <c r="AF147" s="146"/>
      <c r="AG147" s="146"/>
      <c r="AH147" s="146"/>
    </row>
    <row r="148" spans="1:34" ht="20.149999999999999" customHeight="1" x14ac:dyDescent="0.35">
      <c r="A148" s="18"/>
      <c r="B148" s="71"/>
      <c r="C148" s="71"/>
      <c r="D148" s="71"/>
      <c r="E148" s="71"/>
      <c r="F148" s="19"/>
      <c r="G148" s="19"/>
      <c r="H148" s="19"/>
      <c r="I148" s="19"/>
      <c r="J148" s="146"/>
      <c r="K148" s="146"/>
      <c r="L148" s="146"/>
      <c r="M148" s="146"/>
      <c r="N148" s="146"/>
      <c r="O148" s="146"/>
      <c r="P148" s="146"/>
      <c r="Q148" s="146"/>
      <c r="R148" s="146"/>
      <c r="S148" s="146"/>
      <c r="T148" s="146"/>
      <c r="U148" s="146"/>
      <c r="V148" s="146"/>
      <c r="W148" s="146"/>
      <c r="X148" s="146"/>
      <c r="Y148" s="146"/>
      <c r="Z148" s="146"/>
      <c r="AA148" s="146"/>
      <c r="AB148" s="146"/>
      <c r="AC148" s="146"/>
      <c r="AD148" s="146"/>
      <c r="AE148" s="146"/>
      <c r="AF148" s="146"/>
      <c r="AG148" s="146"/>
      <c r="AH148" s="146"/>
    </row>
    <row r="149" spans="1:34" ht="20.149999999999999" customHeight="1" x14ac:dyDescent="0.35">
      <c r="A149" s="18"/>
      <c r="B149" s="71"/>
      <c r="C149" s="71"/>
      <c r="D149" s="71"/>
      <c r="E149" s="71"/>
      <c r="F149" s="19"/>
      <c r="G149" s="19"/>
      <c r="H149" s="19"/>
      <c r="I149" s="19"/>
      <c r="J149" s="146"/>
      <c r="K149" s="146"/>
      <c r="L149" s="146"/>
      <c r="M149" s="146"/>
      <c r="N149" s="146"/>
      <c r="O149" s="146"/>
      <c r="P149" s="146"/>
      <c r="Q149" s="146"/>
      <c r="R149" s="146"/>
      <c r="S149" s="146"/>
      <c r="T149" s="146"/>
      <c r="U149" s="146"/>
      <c r="V149" s="146"/>
      <c r="W149" s="146"/>
      <c r="X149" s="146"/>
      <c r="Y149" s="146"/>
      <c r="Z149" s="146"/>
      <c r="AA149" s="146"/>
      <c r="AB149" s="146"/>
      <c r="AC149" s="146"/>
      <c r="AD149" s="146"/>
      <c r="AE149" s="146"/>
      <c r="AF149" s="146"/>
      <c r="AG149" s="146"/>
      <c r="AH149" s="146"/>
    </row>
    <row r="150" spans="1:34" ht="20.149999999999999" customHeight="1" x14ac:dyDescent="0.35">
      <c r="A150" s="18"/>
      <c r="B150" s="71"/>
      <c r="C150" s="71"/>
      <c r="D150" s="71"/>
      <c r="E150" s="71"/>
      <c r="F150" s="19"/>
      <c r="G150" s="19"/>
      <c r="H150" s="19"/>
      <c r="I150" s="19"/>
      <c r="J150" s="146"/>
      <c r="K150" s="146"/>
      <c r="L150" s="146"/>
      <c r="M150" s="146"/>
      <c r="N150" s="146"/>
      <c r="O150" s="146"/>
      <c r="P150" s="146"/>
      <c r="Q150" s="146"/>
      <c r="R150" s="146"/>
      <c r="S150" s="146"/>
      <c r="T150" s="146"/>
      <c r="U150" s="146"/>
      <c r="V150" s="146"/>
      <c r="W150" s="146"/>
      <c r="X150" s="146"/>
      <c r="Y150" s="146"/>
      <c r="Z150" s="146"/>
      <c r="AA150" s="146"/>
      <c r="AB150" s="146"/>
      <c r="AC150" s="146"/>
      <c r="AD150" s="146"/>
      <c r="AE150" s="146"/>
      <c r="AF150" s="146"/>
      <c r="AG150" s="146"/>
      <c r="AH150" s="146"/>
    </row>
    <row r="151" spans="1:34" ht="20.149999999999999" customHeight="1" x14ac:dyDescent="0.35">
      <c r="A151" s="18"/>
      <c r="B151" s="71"/>
      <c r="C151" s="71"/>
      <c r="D151" s="71"/>
      <c r="E151" s="71"/>
      <c r="F151" s="19"/>
      <c r="G151" s="19"/>
      <c r="H151" s="19"/>
      <c r="I151" s="19"/>
      <c r="J151" s="146"/>
      <c r="K151" s="146"/>
      <c r="L151" s="146"/>
      <c r="M151" s="146"/>
      <c r="N151" s="146"/>
      <c r="O151" s="146"/>
      <c r="P151" s="146"/>
      <c r="Q151" s="146"/>
      <c r="R151" s="146"/>
      <c r="S151" s="146"/>
      <c r="T151" s="146"/>
      <c r="U151" s="146"/>
      <c r="V151" s="146"/>
      <c r="W151" s="146"/>
      <c r="X151" s="146"/>
      <c r="Y151" s="146"/>
      <c r="Z151" s="146"/>
      <c r="AA151" s="146"/>
      <c r="AB151" s="146"/>
      <c r="AC151" s="146"/>
      <c r="AD151" s="146"/>
      <c r="AE151" s="146"/>
      <c r="AF151" s="146"/>
      <c r="AG151" s="146"/>
      <c r="AH151" s="146"/>
    </row>
    <row r="152" spans="1:34" ht="20.149999999999999" customHeight="1" x14ac:dyDescent="0.35">
      <c r="A152" s="18"/>
      <c r="B152" s="71"/>
      <c r="C152" s="71"/>
      <c r="D152" s="71"/>
      <c r="E152" s="71"/>
      <c r="F152" s="19"/>
      <c r="G152" s="19"/>
      <c r="H152" s="19"/>
      <c r="I152" s="19"/>
      <c r="J152" s="146"/>
      <c r="K152" s="146"/>
      <c r="L152" s="146"/>
      <c r="M152" s="146"/>
      <c r="N152" s="146"/>
      <c r="O152" s="146"/>
      <c r="P152" s="146"/>
      <c r="Q152" s="146"/>
      <c r="R152" s="146"/>
      <c r="S152" s="146"/>
      <c r="T152" s="146"/>
      <c r="U152" s="146"/>
      <c r="V152" s="146"/>
      <c r="W152" s="146"/>
      <c r="X152" s="146"/>
      <c r="Y152" s="146"/>
      <c r="Z152" s="146"/>
      <c r="AA152" s="146"/>
      <c r="AB152" s="146"/>
      <c r="AC152" s="146"/>
      <c r="AD152" s="146"/>
      <c r="AE152" s="146"/>
      <c r="AF152" s="146"/>
      <c r="AG152" s="146"/>
      <c r="AH152" s="146"/>
    </row>
    <row r="153" spans="1:34" ht="20.149999999999999" customHeight="1" x14ac:dyDescent="0.35">
      <c r="A153" s="18"/>
      <c r="B153" s="71"/>
      <c r="C153" s="71"/>
      <c r="D153" s="71"/>
      <c r="E153" s="71"/>
      <c r="F153" s="19"/>
      <c r="G153" s="19"/>
      <c r="H153" s="19"/>
      <c r="I153" s="19"/>
      <c r="J153" s="146"/>
      <c r="K153" s="146"/>
      <c r="L153" s="146"/>
      <c r="M153" s="146"/>
      <c r="N153" s="146"/>
      <c r="O153" s="146"/>
      <c r="P153" s="146"/>
      <c r="Q153" s="146"/>
      <c r="R153" s="146"/>
      <c r="S153" s="146"/>
      <c r="T153" s="146"/>
      <c r="U153" s="146"/>
      <c r="V153" s="146"/>
      <c r="W153" s="146"/>
      <c r="X153" s="146"/>
      <c r="Y153" s="146"/>
      <c r="Z153" s="146"/>
      <c r="AA153" s="146"/>
      <c r="AB153" s="146"/>
      <c r="AC153" s="146"/>
      <c r="AD153" s="146"/>
      <c r="AE153" s="146"/>
      <c r="AF153" s="146"/>
      <c r="AG153" s="146"/>
      <c r="AH153" s="146"/>
    </row>
    <row r="154" spans="1:34" ht="20.149999999999999" customHeight="1" x14ac:dyDescent="0.35">
      <c r="A154" s="18"/>
      <c r="B154" s="71"/>
      <c r="C154" s="71"/>
      <c r="D154" s="71"/>
      <c r="E154" s="71"/>
      <c r="F154" s="19"/>
      <c r="G154" s="19"/>
      <c r="H154" s="19"/>
      <c r="I154" s="19"/>
      <c r="J154" s="146"/>
      <c r="K154" s="146"/>
      <c r="L154" s="146"/>
      <c r="M154" s="146"/>
      <c r="N154" s="146"/>
      <c r="O154" s="146"/>
      <c r="P154" s="146"/>
      <c r="Q154" s="146"/>
      <c r="R154" s="146"/>
      <c r="S154" s="146"/>
      <c r="T154" s="146"/>
      <c r="U154" s="146"/>
      <c r="V154" s="146"/>
      <c r="W154" s="146"/>
      <c r="X154" s="146"/>
      <c r="Y154" s="146"/>
      <c r="Z154" s="146"/>
      <c r="AA154" s="146"/>
      <c r="AB154" s="146"/>
      <c r="AC154" s="146"/>
      <c r="AD154" s="146"/>
      <c r="AE154" s="146"/>
      <c r="AF154" s="146"/>
      <c r="AG154" s="146"/>
      <c r="AH154" s="146"/>
    </row>
    <row r="155" spans="1:34" ht="20.149999999999999" customHeight="1" x14ac:dyDescent="0.35">
      <c r="A155" s="18"/>
      <c r="B155" s="71"/>
      <c r="C155" s="71"/>
      <c r="D155" s="71"/>
      <c r="E155" s="71"/>
      <c r="F155" s="19"/>
      <c r="G155" s="19"/>
      <c r="H155" s="19"/>
      <c r="I155" s="19"/>
      <c r="J155" s="146"/>
      <c r="K155" s="146"/>
      <c r="L155" s="146"/>
      <c r="M155" s="146"/>
      <c r="N155" s="146"/>
      <c r="O155" s="146"/>
      <c r="P155" s="146"/>
      <c r="Q155" s="146"/>
      <c r="R155" s="146"/>
      <c r="S155" s="146"/>
      <c r="T155" s="146"/>
      <c r="U155" s="146"/>
      <c r="V155" s="146"/>
      <c r="W155" s="146"/>
      <c r="X155" s="146"/>
      <c r="Y155" s="146"/>
      <c r="Z155" s="146"/>
      <c r="AA155" s="146"/>
      <c r="AB155" s="146"/>
      <c r="AC155" s="146"/>
      <c r="AD155" s="146"/>
      <c r="AE155" s="146"/>
      <c r="AF155" s="146"/>
      <c r="AG155" s="146"/>
      <c r="AH155" s="146"/>
    </row>
    <row r="156" spans="1:34" ht="20.149999999999999" customHeight="1" x14ac:dyDescent="0.35">
      <c r="A156" s="18"/>
      <c r="B156" s="71"/>
      <c r="C156" s="71"/>
      <c r="D156" s="71"/>
      <c r="E156" s="71"/>
      <c r="F156" s="19"/>
      <c r="G156" s="19"/>
      <c r="H156" s="19"/>
      <c r="I156" s="19"/>
      <c r="J156" s="146"/>
      <c r="K156" s="146"/>
      <c r="L156" s="146"/>
      <c r="M156" s="146"/>
      <c r="N156" s="146"/>
      <c r="O156" s="146"/>
      <c r="P156" s="146"/>
      <c r="Q156" s="146"/>
      <c r="R156" s="146"/>
      <c r="S156" s="146"/>
      <c r="T156" s="146"/>
      <c r="U156" s="146"/>
      <c r="V156" s="146"/>
      <c r="W156" s="146"/>
      <c r="X156" s="146"/>
      <c r="Y156" s="146"/>
      <c r="Z156" s="146"/>
      <c r="AA156" s="146"/>
      <c r="AB156" s="146"/>
      <c r="AC156" s="146"/>
      <c r="AD156" s="146"/>
      <c r="AE156" s="146"/>
      <c r="AF156" s="146"/>
      <c r="AG156" s="146"/>
      <c r="AH156" s="146"/>
    </row>
    <row r="157" spans="1:34" ht="20.149999999999999" customHeight="1" x14ac:dyDescent="0.35">
      <c r="A157" s="18"/>
      <c r="B157" s="71"/>
      <c r="C157" s="71"/>
      <c r="D157" s="71"/>
      <c r="E157" s="71"/>
      <c r="F157" s="19"/>
      <c r="G157" s="19"/>
      <c r="H157" s="19"/>
      <c r="I157" s="19"/>
      <c r="J157" s="146"/>
      <c r="K157" s="146"/>
      <c r="L157" s="146"/>
      <c r="M157" s="146"/>
      <c r="N157" s="146"/>
      <c r="O157" s="146"/>
      <c r="P157" s="146"/>
      <c r="Q157" s="146"/>
      <c r="R157" s="146"/>
      <c r="S157" s="146"/>
      <c r="T157" s="146"/>
      <c r="U157" s="146"/>
      <c r="V157" s="146"/>
      <c r="W157" s="146"/>
      <c r="X157" s="146"/>
      <c r="Y157" s="146"/>
      <c r="Z157" s="146"/>
      <c r="AA157" s="146"/>
      <c r="AB157" s="146"/>
      <c r="AC157" s="146"/>
      <c r="AD157" s="146"/>
      <c r="AE157" s="146"/>
      <c r="AF157" s="146"/>
      <c r="AG157" s="146"/>
      <c r="AH157" s="146"/>
    </row>
    <row r="158" spans="1:34" ht="20.149999999999999" customHeight="1" x14ac:dyDescent="0.35">
      <c r="A158" s="18"/>
      <c r="B158" s="71"/>
      <c r="C158" s="71"/>
      <c r="D158" s="71"/>
      <c r="E158" s="71"/>
      <c r="F158" s="19"/>
      <c r="G158" s="19"/>
      <c r="H158" s="19"/>
      <c r="I158" s="19"/>
      <c r="J158" s="146"/>
      <c r="K158" s="146"/>
      <c r="L158" s="146"/>
      <c r="M158" s="146"/>
      <c r="N158" s="146"/>
      <c r="O158" s="146"/>
      <c r="P158" s="146"/>
      <c r="Q158" s="146"/>
      <c r="R158" s="146"/>
      <c r="S158" s="146"/>
      <c r="T158" s="146"/>
      <c r="U158" s="146"/>
      <c r="V158" s="146"/>
      <c r="W158" s="146"/>
      <c r="X158" s="146"/>
      <c r="Y158" s="146"/>
      <c r="Z158" s="146"/>
      <c r="AA158" s="146"/>
      <c r="AB158" s="146"/>
      <c r="AC158" s="146"/>
      <c r="AD158" s="146"/>
      <c r="AE158" s="146"/>
      <c r="AF158" s="146"/>
      <c r="AG158" s="146"/>
      <c r="AH158" s="146"/>
    </row>
    <row r="159" spans="1:34" ht="20.149999999999999" customHeight="1" x14ac:dyDescent="0.35">
      <c r="A159" s="18"/>
      <c r="B159" s="71"/>
      <c r="C159" s="71"/>
      <c r="D159" s="71"/>
      <c r="E159" s="71"/>
      <c r="F159" s="19"/>
      <c r="G159" s="19"/>
      <c r="H159" s="19"/>
      <c r="I159" s="19"/>
      <c r="J159" s="146"/>
      <c r="K159" s="146"/>
      <c r="L159" s="146"/>
      <c r="M159" s="146"/>
      <c r="N159" s="146"/>
      <c r="O159" s="146"/>
      <c r="P159" s="146"/>
      <c r="Q159" s="146"/>
      <c r="R159" s="146"/>
      <c r="S159" s="146"/>
      <c r="T159" s="146"/>
      <c r="U159" s="146"/>
      <c r="V159" s="146"/>
      <c r="W159" s="146"/>
      <c r="X159" s="146"/>
      <c r="Y159" s="146"/>
      <c r="Z159" s="146"/>
      <c r="AA159" s="146"/>
      <c r="AB159" s="146"/>
      <c r="AC159" s="146"/>
      <c r="AD159" s="146"/>
      <c r="AE159" s="146"/>
      <c r="AF159" s="146"/>
      <c r="AG159" s="146"/>
      <c r="AH159" s="146"/>
    </row>
    <row r="160" spans="1:34" ht="20.149999999999999" customHeight="1" x14ac:dyDescent="0.35">
      <c r="A160" s="18"/>
      <c r="B160" s="71"/>
      <c r="C160" s="71"/>
      <c r="D160" s="71"/>
      <c r="E160" s="71"/>
      <c r="F160" s="19"/>
      <c r="G160" s="19"/>
      <c r="H160" s="19"/>
      <c r="I160" s="19"/>
      <c r="J160" s="146"/>
      <c r="K160" s="146"/>
      <c r="L160" s="146"/>
      <c r="M160" s="146"/>
      <c r="N160" s="146"/>
      <c r="O160" s="146"/>
      <c r="P160" s="146"/>
      <c r="Q160" s="146"/>
      <c r="R160" s="146"/>
      <c r="S160" s="146"/>
      <c r="T160" s="146"/>
      <c r="U160" s="146"/>
      <c r="V160" s="146"/>
      <c r="W160" s="146"/>
      <c r="X160" s="146"/>
      <c r="Y160" s="146"/>
      <c r="Z160" s="146"/>
      <c r="AA160" s="146"/>
      <c r="AB160" s="146"/>
      <c r="AC160" s="146"/>
      <c r="AD160" s="146"/>
      <c r="AE160" s="146"/>
      <c r="AF160" s="146"/>
      <c r="AG160" s="146"/>
      <c r="AH160" s="146"/>
    </row>
    <row r="161" spans="1:34" ht="20.149999999999999" customHeight="1" x14ac:dyDescent="0.35">
      <c r="A161" s="18"/>
      <c r="B161" s="71"/>
      <c r="C161" s="71"/>
      <c r="D161" s="71"/>
      <c r="E161" s="71"/>
      <c r="F161" s="19"/>
      <c r="G161" s="19"/>
      <c r="H161" s="19"/>
      <c r="I161" s="19"/>
      <c r="J161" s="146"/>
      <c r="K161" s="146"/>
      <c r="L161" s="146"/>
      <c r="M161" s="146"/>
      <c r="N161" s="146"/>
      <c r="O161" s="146"/>
      <c r="P161" s="146"/>
      <c r="Q161" s="146"/>
      <c r="R161" s="146"/>
      <c r="S161" s="146"/>
      <c r="T161" s="146"/>
      <c r="U161" s="146"/>
      <c r="V161" s="146"/>
      <c r="W161" s="146"/>
      <c r="X161" s="146"/>
      <c r="Y161" s="146"/>
      <c r="Z161" s="146"/>
      <c r="AA161" s="146"/>
      <c r="AB161" s="146"/>
      <c r="AC161" s="146"/>
      <c r="AD161" s="146"/>
      <c r="AE161" s="146"/>
      <c r="AF161" s="146"/>
      <c r="AG161" s="146"/>
      <c r="AH161" s="146"/>
    </row>
    <row r="162" spans="1:34" ht="20.149999999999999" customHeight="1" x14ac:dyDescent="0.35">
      <c r="A162" s="18"/>
      <c r="B162" s="71"/>
      <c r="C162" s="71"/>
      <c r="D162" s="71"/>
      <c r="E162" s="71"/>
      <c r="F162" s="19"/>
      <c r="G162" s="19"/>
      <c r="H162" s="19"/>
      <c r="I162" s="19"/>
      <c r="J162" s="146"/>
      <c r="K162" s="146"/>
      <c r="L162" s="146"/>
      <c r="M162" s="146"/>
      <c r="N162" s="146"/>
      <c r="O162" s="146"/>
      <c r="P162" s="146"/>
      <c r="Q162" s="146"/>
      <c r="R162" s="146"/>
      <c r="S162" s="146"/>
      <c r="T162" s="146"/>
      <c r="U162" s="146"/>
      <c r="V162" s="146"/>
      <c r="W162" s="146"/>
      <c r="X162" s="146"/>
      <c r="Y162" s="146"/>
      <c r="Z162" s="146"/>
      <c r="AA162" s="146"/>
      <c r="AB162" s="146"/>
      <c r="AC162" s="146"/>
      <c r="AD162" s="146"/>
      <c r="AE162" s="146"/>
      <c r="AF162" s="146"/>
      <c r="AG162" s="146"/>
      <c r="AH162" s="146"/>
    </row>
    <row r="163" spans="1:34" ht="20.149999999999999" customHeight="1" x14ac:dyDescent="0.35">
      <c r="B163" s="151"/>
      <c r="C163" s="151"/>
      <c r="D163" s="151"/>
      <c r="E163" s="151"/>
      <c r="F163" s="146"/>
      <c r="G163" s="146"/>
      <c r="H163" s="146"/>
      <c r="I163" s="146"/>
      <c r="J163" s="146"/>
      <c r="K163" s="146"/>
      <c r="L163" s="146"/>
      <c r="M163" s="146"/>
      <c r="N163" s="146"/>
      <c r="O163" s="146"/>
      <c r="P163" s="146"/>
      <c r="Q163" s="146"/>
      <c r="R163" s="146"/>
      <c r="S163" s="146"/>
      <c r="T163" s="146"/>
      <c r="U163" s="146"/>
      <c r="V163" s="146"/>
      <c r="W163" s="146"/>
      <c r="X163" s="146"/>
      <c r="Y163" s="146"/>
      <c r="Z163" s="146"/>
      <c r="AA163" s="146"/>
      <c r="AB163" s="146"/>
      <c r="AC163" s="146"/>
      <c r="AD163" s="146"/>
      <c r="AE163" s="146"/>
      <c r="AF163" s="146"/>
      <c r="AG163" s="146"/>
      <c r="AH163" s="146"/>
    </row>
    <row r="164" spans="1:34" ht="20.149999999999999" customHeight="1" x14ac:dyDescent="0.35">
      <c r="B164" s="151"/>
      <c r="C164" s="151"/>
      <c r="D164" s="151"/>
      <c r="E164" s="151"/>
      <c r="F164" s="146"/>
      <c r="G164" s="146"/>
      <c r="H164" s="146"/>
      <c r="I164" s="146"/>
      <c r="J164" s="146"/>
      <c r="K164" s="146"/>
      <c r="L164" s="146"/>
      <c r="M164" s="146"/>
      <c r="N164" s="146"/>
      <c r="O164" s="146"/>
      <c r="P164" s="146"/>
      <c r="Q164" s="146"/>
      <c r="R164" s="146"/>
      <c r="S164" s="146"/>
      <c r="T164" s="146"/>
      <c r="U164" s="146"/>
      <c r="V164" s="146"/>
      <c r="W164" s="146"/>
      <c r="X164" s="146"/>
      <c r="Y164" s="146"/>
      <c r="Z164" s="146"/>
      <c r="AA164" s="146"/>
      <c r="AB164" s="146"/>
      <c r="AC164" s="146"/>
      <c r="AD164" s="146"/>
      <c r="AE164" s="146"/>
      <c r="AF164" s="146"/>
      <c r="AG164" s="146"/>
      <c r="AH164" s="146"/>
    </row>
    <row r="165" spans="1:34" ht="20.149999999999999" customHeight="1" x14ac:dyDescent="0.35">
      <c r="B165" s="151"/>
      <c r="C165" s="151"/>
      <c r="D165" s="151"/>
      <c r="E165" s="151"/>
      <c r="F165" s="146"/>
      <c r="G165" s="146"/>
      <c r="H165" s="146"/>
      <c r="I165" s="146"/>
      <c r="J165" s="146"/>
      <c r="K165" s="146"/>
      <c r="L165" s="146"/>
      <c r="M165" s="146"/>
      <c r="N165" s="146"/>
      <c r="O165" s="146"/>
      <c r="P165" s="146"/>
      <c r="Q165" s="146"/>
      <c r="R165" s="146"/>
      <c r="S165" s="146"/>
      <c r="T165" s="146"/>
      <c r="U165" s="146"/>
      <c r="V165" s="146"/>
      <c r="W165" s="146"/>
      <c r="X165" s="146"/>
      <c r="Y165" s="146"/>
      <c r="Z165" s="146"/>
      <c r="AA165" s="146"/>
      <c r="AB165" s="146"/>
      <c r="AC165" s="146"/>
      <c r="AD165" s="146"/>
      <c r="AE165" s="146"/>
      <c r="AF165" s="146"/>
      <c r="AG165" s="146"/>
      <c r="AH165" s="146"/>
    </row>
    <row r="166" spans="1:34" ht="20.149999999999999" customHeight="1" x14ac:dyDescent="0.35">
      <c r="B166" s="151"/>
      <c r="C166" s="151"/>
      <c r="D166" s="151"/>
      <c r="E166" s="151"/>
      <c r="F166" s="146"/>
      <c r="G166" s="146"/>
      <c r="H166" s="146"/>
      <c r="I166" s="146"/>
      <c r="J166" s="146"/>
      <c r="K166" s="146"/>
      <c r="L166" s="146"/>
      <c r="M166" s="146"/>
      <c r="N166" s="146"/>
      <c r="O166" s="146"/>
      <c r="P166" s="146"/>
      <c r="Q166" s="146"/>
      <c r="R166" s="146"/>
      <c r="S166" s="146"/>
      <c r="T166" s="146"/>
      <c r="U166" s="146"/>
      <c r="V166" s="146"/>
      <c r="W166" s="146"/>
      <c r="X166" s="146"/>
      <c r="Y166" s="146"/>
      <c r="Z166" s="146"/>
      <c r="AA166" s="146"/>
      <c r="AB166" s="146"/>
      <c r="AC166" s="146"/>
      <c r="AD166" s="146"/>
      <c r="AE166" s="146"/>
      <c r="AF166" s="146"/>
      <c r="AG166" s="146"/>
      <c r="AH166" s="146"/>
    </row>
    <row r="167" spans="1:34" ht="20.149999999999999" customHeight="1" x14ac:dyDescent="0.35">
      <c r="B167" s="151"/>
      <c r="C167" s="151"/>
      <c r="D167" s="151"/>
      <c r="E167" s="151"/>
      <c r="F167" s="146"/>
      <c r="G167" s="146"/>
      <c r="H167" s="146"/>
      <c r="I167" s="146"/>
      <c r="J167" s="146"/>
      <c r="K167" s="146"/>
      <c r="L167" s="146"/>
      <c r="M167" s="146"/>
      <c r="N167" s="146"/>
      <c r="O167" s="146"/>
      <c r="P167" s="146"/>
      <c r="Q167" s="146"/>
      <c r="R167" s="146"/>
      <c r="S167" s="146"/>
      <c r="T167" s="146"/>
      <c r="U167" s="146"/>
      <c r="V167" s="146"/>
      <c r="W167" s="146"/>
      <c r="X167" s="146"/>
      <c r="Y167" s="146"/>
      <c r="Z167" s="146"/>
      <c r="AA167" s="146"/>
      <c r="AB167" s="146"/>
      <c r="AC167" s="146"/>
      <c r="AD167" s="146"/>
      <c r="AE167" s="146"/>
      <c r="AF167" s="146"/>
      <c r="AG167" s="146"/>
      <c r="AH167" s="146"/>
    </row>
    <row r="168" spans="1:34" ht="20.149999999999999" customHeight="1" x14ac:dyDescent="0.35">
      <c r="B168" s="151"/>
      <c r="C168" s="151"/>
      <c r="D168" s="151"/>
      <c r="E168" s="151"/>
      <c r="F168" s="146"/>
      <c r="G168" s="146"/>
      <c r="H168" s="146"/>
      <c r="I168" s="146"/>
      <c r="J168" s="146"/>
      <c r="K168" s="146"/>
      <c r="L168" s="146"/>
      <c r="M168" s="146"/>
      <c r="N168" s="146"/>
      <c r="O168" s="146"/>
      <c r="P168" s="146"/>
      <c r="Q168" s="146"/>
      <c r="R168" s="146"/>
      <c r="S168" s="146"/>
      <c r="T168" s="146"/>
      <c r="U168" s="146"/>
      <c r="V168" s="146"/>
      <c r="W168" s="146"/>
      <c r="X168" s="146"/>
      <c r="Y168" s="146"/>
      <c r="Z168" s="146"/>
      <c r="AA168" s="146"/>
      <c r="AB168" s="146"/>
      <c r="AC168" s="146"/>
      <c r="AD168" s="146"/>
      <c r="AE168" s="146"/>
      <c r="AF168" s="146"/>
      <c r="AG168" s="146"/>
      <c r="AH168" s="146"/>
    </row>
    <row r="169" spans="1:34" ht="20.149999999999999" customHeight="1" x14ac:dyDescent="0.35">
      <c r="B169" s="151"/>
      <c r="C169" s="151"/>
      <c r="D169" s="151"/>
      <c r="E169" s="151"/>
      <c r="F169" s="146"/>
      <c r="G169" s="146"/>
      <c r="H169" s="146"/>
      <c r="I169" s="146"/>
      <c r="J169" s="146"/>
      <c r="K169" s="146"/>
      <c r="L169" s="146"/>
      <c r="M169" s="146"/>
      <c r="N169" s="146"/>
      <c r="O169" s="146"/>
      <c r="P169" s="146"/>
      <c r="Q169" s="146"/>
      <c r="R169" s="146"/>
      <c r="S169" s="146"/>
      <c r="T169" s="146"/>
      <c r="U169" s="146"/>
      <c r="V169" s="146"/>
      <c r="W169" s="146"/>
      <c r="X169" s="146"/>
      <c r="Y169" s="146"/>
      <c r="Z169" s="146"/>
      <c r="AA169" s="146"/>
      <c r="AB169" s="146"/>
      <c r="AC169" s="146"/>
      <c r="AD169" s="146"/>
      <c r="AE169" s="146"/>
      <c r="AF169" s="146"/>
      <c r="AG169" s="146"/>
      <c r="AH169" s="146"/>
    </row>
    <row r="170" spans="1:34" ht="20.149999999999999" customHeight="1" x14ac:dyDescent="0.35">
      <c r="B170" s="151"/>
      <c r="C170" s="151"/>
      <c r="D170" s="151"/>
      <c r="E170" s="151"/>
      <c r="F170" s="146"/>
      <c r="G170" s="146"/>
      <c r="H170" s="146"/>
      <c r="I170" s="146"/>
      <c r="J170" s="146"/>
      <c r="K170" s="146"/>
      <c r="L170" s="146"/>
      <c r="M170" s="146"/>
      <c r="N170" s="146"/>
      <c r="O170" s="146"/>
      <c r="P170" s="146"/>
      <c r="Q170" s="146"/>
      <c r="R170" s="146"/>
      <c r="S170" s="146"/>
      <c r="T170" s="146"/>
      <c r="U170" s="146"/>
      <c r="V170" s="146"/>
      <c r="W170" s="146"/>
      <c r="X170" s="146"/>
      <c r="Y170" s="146"/>
      <c r="Z170" s="146"/>
      <c r="AA170" s="146"/>
      <c r="AB170" s="146"/>
      <c r="AC170" s="146"/>
      <c r="AD170" s="146"/>
      <c r="AE170" s="146"/>
      <c r="AF170" s="146"/>
      <c r="AG170" s="146"/>
      <c r="AH170" s="146"/>
    </row>
    <row r="171" spans="1:34" ht="20.149999999999999" customHeight="1" x14ac:dyDescent="0.35">
      <c r="B171" s="151"/>
      <c r="C171" s="151"/>
      <c r="D171" s="151"/>
      <c r="E171" s="151"/>
      <c r="F171" s="146"/>
      <c r="G171" s="146"/>
      <c r="H171" s="146"/>
      <c r="I171" s="146"/>
      <c r="J171" s="146"/>
      <c r="K171" s="146"/>
      <c r="L171" s="146"/>
      <c r="M171" s="146"/>
      <c r="N171" s="146"/>
      <c r="O171" s="146"/>
      <c r="P171" s="146"/>
      <c r="Q171" s="146"/>
      <c r="R171" s="146"/>
      <c r="S171" s="146"/>
      <c r="T171" s="146"/>
      <c r="U171" s="146"/>
      <c r="V171" s="146"/>
      <c r="W171" s="146"/>
      <c r="X171" s="146"/>
      <c r="Y171" s="146"/>
      <c r="Z171" s="146"/>
      <c r="AA171" s="146"/>
      <c r="AB171" s="146"/>
      <c r="AC171" s="146"/>
      <c r="AD171" s="146"/>
      <c r="AE171" s="146"/>
      <c r="AF171" s="146"/>
      <c r="AG171" s="146"/>
      <c r="AH171" s="146"/>
    </row>
    <row r="172" spans="1:34" ht="20.149999999999999" customHeight="1" x14ac:dyDescent="0.35">
      <c r="B172" s="151"/>
      <c r="C172" s="151"/>
      <c r="D172" s="151"/>
      <c r="E172" s="151"/>
      <c r="F172" s="146"/>
      <c r="G172" s="146"/>
      <c r="H172" s="146"/>
      <c r="I172" s="146"/>
      <c r="J172" s="146"/>
      <c r="K172" s="146"/>
      <c r="L172" s="146"/>
      <c r="M172" s="146"/>
      <c r="N172" s="146"/>
      <c r="O172" s="146"/>
      <c r="P172" s="146"/>
      <c r="Q172" s="146"/>
      <c r="R172" s="146"/>
      <c r="S172" s="146"/>
      <c r="T172" s="146"/>
      <c r="U172" s="146"/>
      <c r="V172" s="146"/>
      <c r="W172" s="146"/>
      <c r="X172" s="146"/>
      <c r="Y172" s="146"/>
      <c r="Z172" s="146"/>
      <c r="AA172" s="146"/>
      <c r="AB172" s="146"/>
      <c r="AC172" s="146"/>
      <c r="AD172" s="146"/>
      <c r="AE172" s="146"/>
      <c r="AF172" s="146"/>
      <c r="AG172" s="146"/>
      <c r="AH172" s="146"/>
    </row>
    <row r="173" spans="1:34" ht="20.149999999999999" customHeight="1" x14ac:dyDescent="0.35">
      <c r="B173" s="151"/>
      <c r="C173" s="151"/>
      <c r="D173" s="151"/>
      <c r="E173" s="151"/>
      <c r="F173" s="146"/>
      <c r="G173" s="146"/>
      <c r="H173" s="146"/>
      <c r="I173" s="146"/>
      <c r="J173" s="146"/>
      <c r="K173" s="146"/>
      <c r="L173" s="146"/>
      <c r="M173" s="146"/>
      <c r="N173" s="146"/>
      <c r="O173" s="146"/>
      <c r="P173" s="146"/>
      <c r="Q173" s="146"/>
      <c r="R173" s="146"/>
      <c r="S173" s="146"/>
      <c r="T173" s="146"/>
      <c r="U173" s="146"/>
      <c r="V173" s="146"/>
      <c r="W173" s="146"/>
      <c r="X173" s="146"/>
      <c r="Y173" s="146"/>
      <c r="Z173" s="146"/>
      <c r="AA173" s="146"/>
      <c r="AB173" s="146"/>
      <c r="AC173" s="146"/>
      <c r="AD173" s="146"/>
      <c r="AE173" s="146"/>
      <c r="AF173" s="146"/>
      <c r="AG173" s="146"/>
      <c r="AH173" s="146"/>
    </row>
    <row r="174" spans="1:34" ht="20.149999999999999" customHeight="1" x14ac:dyDescent="0.35">
      <c r="B174" s="151"/>
      <c r="C174" s="151"/>
      <c r="D174" s="151"/>
      <c r="E174" s="151"/>
      <c r="F174" s="146"/>
      <c r="G174" s="146"/>
      <c r="H174" s="146"/>
      <c r="I174" s="146"/>
      <c r="J174" s="146"/>
      <c r="K174" s="146"/>
      <c r="L174" s="146"/>
      <c r="M174" s="146"/>
      <c r="N174" s="146"/>
      <c r="O174" s="146"/>
      <c r="P174" s="146"/>
      <c r="Q174" s="146"/>
      <c r="R174" s="146"/>
      <c r="S174" s="146"/>
      <c r="T174" s="146"/>
      <c r="U174" s="146"/>
      <c r="V174" s="146"/>
      <c r="W174" s="146"/>
      <c r="X174" s="146"/>
      <c r="Y174" s="146"/>
      <c r="Z174" s="146"/>
      <c r="AA174" s="146"/>
      <c r="AB174" s="146"/>
      <c r="AC174" s="146"/>
      <c r="AD174" s="146"/>
      <c r="AE174" s="146"/>
      <c r="AF174" s="146"/>
      <c r="AG174" s="146"/>
      <c r="AH174" s="146"/>
    </row>
    <row r="175" spans="1:34" ht="20.149999999999999" customHeight="1" x14ac:dyDescent="0.35">
      <c r="B175" s="151"/>
      <c r="C175" s="151"/>
      <c r="D175" s="151"/>
      <c r="E175" s="151"/>
      <c r="F175" s="146"/>
      <c r="G175" s="146"/>
      <c r="H175" s="146"/>
      <c r="I175" s="146"/>
      <c r="J175" s="146"/>
      <c r="K175" s="146"/>
      <c r="L175" s="146"/>
      <c r="M175" s="146"/>
      <c r="N175" s="146"/>
      <c r="O175" s="146"/>
      <c r="P175" s="146"/>
      <c r="Q175" s="146"/>
      <c r="R175" s="146"/>
      <c r="S175" s="146"/>
      <c r="T175" s="146"/>
      <c r="U175" s="146"/>
      <c r="V175" s="146"/>
      <c r="W175" s="146"/>
      <c r="X175" s="146"/>
      <c r="Y175" s="146"/>
      <c r="Z175" s="146"/>
      <c r="AA175" s="146"/>
      <c r="AB175" s="146"/>
      <c r="AC175" s="146"/>
      <c r="AD175" s="146"/>
      <c r="AE175" s="146"/>
      <c r="AF175" s="146"/>
      <c r="AG175" s="146"/>
      <c r="AH175" s="146"/>
    </row>
    <row r="176" spans="1:34" ht="20.149999999999999" customHeight="1" x14ac:dyDescent="0.35">
      <c r="B176" s="151"/>
      <c r="C176" s="151"/>
      <c r="D176" s="151"/>
      <c r="E176" s="151"/>
      <c r="F176" s="146"/>
      <c r="G176" s="146"/>
      <c r="H176" s="146"/>
      <c r="I176" s="146"/>
      <c r="J176" s="146"/>
      <c r="K176" s="146"/>
      <c r="L176" s="146"/>
      <c r="M176" s="146"/>
      <c r="N176" s="146"/>
      <c r="O176" s="146"/>
      <c r="P176" s="146"/>
      <c r="Q176" s="146"/>
      <c r="R176" s="146"/>
      <c r="S176" s="146"/>
      <c r="T176" s="146"/>
      <c r="U176" s="146"/>
      <c r="V176" s="146"/>
      <c r="W176" s="146"/>
      <c r="X176" s="146"/>
      <c r="Y176" s="146"/>
      <c r="Z176" s="146"/>
      <c r="AA176" s="146"/>
      <c r="AB176" s="146"/>
      <c r="AC176" s="146"/>
      <c r="AD176" s="146"/>
      <c r="AE176" s="146"/>
      <c r="AF176" s="146"/>
      <c r="AG176" s="146"/>
      <c r="AH176" s="146"/>
    </row>
    <row r="177" spans="2:34" ht="20.149999999999999" customHeight="1" x14ac:dyDescent="0.35">
      <c r="B177" s="151"/>
      <c r="C177" s="151"/>
      <c r="D177" s="151"/>
      <c r="E177" s="151"/>
      <c r="F177" s="146"/>
      <c r="G177" s="146"/>
      <c r="H177" s="146"/>
      <c r="I177" s="146"/>
      <c r="J177" s="146"/>
      <c r="K177" s="146"/>
      <c r="L177" s="146"/>
      <c r="M177" s="146"/>
      <c r="N177" s="146"/>
      <c r="O177" s="146"/>
      <c r="P177" s="146"/>
      <c r="Q177" s="146"/>
      <c r="R177" s="146"/>
      <c r="S177" s="146"/>
      <c r="T177" s="146"/>
      <c r="U177" s="146"/>
      <c r="V177" s="146"/>
      <c r="W177" s="146"/>
      <c r="X177" s="146"/>
      <c r="Y177" s="146"/>
      <c r="Z177" s="146"/>
      <c r="AA177" s="146"/>
      <c r="AB177" s="146"/>
      <c r="AC177" s="146"/>
      <c r="AD177" s="146"/>
      <c r="AE177" s="146"/>
      <c r="AF177" s="146"/>
      <c r="AG177" s="146"/>
      <c r="AH177" s="146"/>
    </row>
    <row r="178" spans="2:34" ht="20.149999999999999" customHeight="1" x14ac:dyDescent="0.35">
      <c r="B178" s="151"/>
      <c r="C178" s="151"/>
      <c r="D178" s="151"/>
      <c r="E178" s="151"/>
      <c r="F178" s="146"/>
      <c r="G178" s="146"/>
      <c r="H178" s="146"/>
      <c r="I178" s="146"/>
      <c r="J178" s="146"/>
      <c r="K178" s="146"/>
      <c r="L178" s="146"/>
      <c r="M178" s="146"/>
      <c r="N178" s="146"/>
      <c r="O178" s="146"/>
      <c r="P178" s="146"/>
      <c r="Q178" s="146"/>
      <c r="R178" s="146"/>
      <c r="S178" s="146"/>
      <c r="T178" s="146"/>
      <c r="U178" s="146"/>
      <c r="V178" s="146"/>
      <c r="W178" s="146"/>
      <c r="X178" s="146"/>
      <c r="Y178" s="146"/>
      <c r="Z178" s="146"/>
      <c r="AA178" s="146"/>
      <c r="AB178" s="146"/>
      <c r="AC178" s="146"/>
      <c r="AD178" s="146"/>
      <c r="AE178" s="146"/>
      <c r="AF178" s="146"/>
      <c r="AG178" s="146"/>
      <c r="AH178" s="146"/>
    </row>
    <row r="179" spans="2:34" ht="20.149999999999999" customHeight="1" x14ac:dyDescent="0.35">
      <c r="B179" s="151"/>
      <c r="C179" s="151"/>
      <c r="D179" s="151"/>
      <c r="E179" s="151"/>
      <c r="F179" s="146"/>
      <c r="G179" s="146"/>
      <c r="H179" s="146"/>
      <c r="I179" s="146"/>
      <c r="J179" s="146"/>
      <c r="K179" s="146"/>
      <c r="L179" s="146"/>
      <c r="M179" s="146"/>
      <c r="N179" s="146"/>
      <c r="O179" s="146"/>
      <c r="P179" s="146"/>
      <c r="Q179" s="146"/>
      <c r="R179" s="146"/>
      <c r="S179" s="146"/>
      <c r="T179" s="146"/>
      <c r="U179" s="146"/>
      <c r="V179" s="146"/>
      <c r="W179" s="146"/>
      <c r="X179" s="146"/>
      <c r="Y179" s="146"/>
      <c r="Z179" s="146"/>
      <c r="AA179" s="146"/>
      <c r="AB179" s="146"/>
      <c r="AC179" s="146"/>
      <c r="AD179" s="146"/>
      <c r="AE179" s="146"/>
      <c r="AF179" s="146"/>
      <c r="AG179" s="146"/>
      <c r="AH179" s="146"/>
    </row>
    <row r="180" spans="2:34" ht="20.149999999999999" customHeight="1" x14ac:dyDescent="0.35">
      <c r="B180" s="151"/>
      <c r="C180" s="151"/>
      <c r="D180" s="151"/>
      <c r="E180" s="151"/>
      <c r="F180" s="146"/>
      <c r="G180" s="146"/>
      <c r="H180" s="146"/>
      <c r="I180" s="146"/>
      <c r="J180" s="146"/>
      <c r="K180" s="146"/>
      <c r="L180" s="146"/>
      <c r="M180" s="146"/>
      <c r="N180" s="146"/>
      <c r="O180" s="146"/>
      <c r="P180" s="146"/>
      <c r="Q180" s="146"/>
      <c r="R180" s="146"/>
      <c r="S180" s="146"/>
      <c r="T180" s="146"/>
      <c r="U180" s="146"/>
      <c r="V180" s="146"/>
      <c r="W180" s="146"/>
      <c r="X180" s="146"/>
      <c r="Y180" s="146"/>
      <c r="Z180" s="146"/>
      <c r="AA180" s="146"/>
      <c r="AB180" s="146"/>
      <c r="AC180" s="146"/>
      <c r="AD180" s="146"/>
      <c r="AE180" s="146"/>
      <c r="AF180" s="146"/>
      <c r="AG180" s="146"/>
      <c r="AH180" s="146"/>
    </row>
    <row r="181" spans="2:34" ht="20.149999999999999" customHeight="1" x14ac:dyDescent="0.35">
      <c r="B181" s="151"/>
      <c r="C181" s="151"/>
      <c r="D181" s="151"/>
      <c r="E181" s="151"/>
      <c r="F181" s="146"/>
      <c r="G181" s="146"/>
      <c r="H181" s="146"/>
      <c r="I181" s="146"/>
      <c r="J181" s="146"/>
      <c r="K181" s="146"/>
      <c r="L181" s="146"/>
      <c r="M181" s="146"/>
      <c r="N181" s="146"/>
      <c r="O181" s="146"/>
      <c r="P181" s="146"/>
      <c r="Q181" s="146"/>
      <c r="R181" s="146"/>
      <c r="S181" s="146"/>
      <c r="T181" s="146"/>
      <c r="U181" s="146"/>
      <c r="V181" s="146"/>
      <c r="W181" s="146"/>
      <c r="X181" s="146"/>
      <c r="Y181" s="146"/>
      <c r="Z181" s="146"/>
      <c r="AA181" s="146"/>
      <c r="AB181" s="146"/>
      <c r="AC181" s="146"/>
      <c r="AD181" s="146"/>
      <c r="AE181" s="146"/>
      <c r="AF181" s="146"/>
      <c r="AG181" s="146"/>
      <c r="AH181" s="146"/>
    </row>
    <row r="182" spans="2:34" ht="20.149999999999999" customHeight="1" x14ac:dyDescent="0.35">
      <c r="B182" s="151"/>
      <c r="C182" s="151"/>
      <c r="D182" s="151"/>
      <c r="E182" s="151"/>
      <c r="F182" s="146"/>
      <c r="G182" s="146"/>
      <c r="H182" s="146"/>
      <c r="I182" s="146"/>
      <c r="J182" s="146"/>
      <c r="K182" s="146"/>
      <c r="L182" s="146"/>
      <c r="M182" s="146"/>
      <c r="N182" s="146"/>
      <c r="O182" s="146"/>
      <c r="P182" s="146"/>
      <c r="Q182" s="146"/>
      <c r="R182" s="146"/>
      <c r="S182" s="146"/>
      <c r="T182" s="146"/>
      <c r="U182" s="146"/>
      <c r="V182" s="146"/>
      <c r="W182" s="146"/>
      <c r="X182" s="146"/>
      <c r="Y182" s="146"/>
      <c r="Z182" s="146"/>
      <c r="AA182" s="146"/>
      <c r="AB182" s="146"/>
      <c r="AC182" s="146"/>
      <c r="AD182" s="146"/>
      <c r="AE182" s="146"/>
      <c r="AF182" s="146"/>
      <c r="AG182" s="146"/>
      <c r="AH182" s="146"/>
    </row>
    <row r="183" spans="2:34" ht="20.149999999999999" customHeight="1" x14ac:dyDescent="0.35">
      <c r="B183" s="151"/>
      <c r="C183" s="151"/>
      <c r="D183" s="151"/>
      <c r="E183" s="151"/>
      <c r="F183" s="146"/>
      <c r="G183" s="146"/>
      <c r="H183" s="146"/>
      <c r="I183" s="146"/>
      <c r="J183" s="146"/>
      <c r="K183" s="146"/>
      <c r="L183" s="146"/>
      <c r="M183" s="146"/>
      <c r="N183" s="146"/>
      <c r="O183" s="146"/>
      <c r="P183" s="146"/>
      <c r="Q183" s="146"/>
      <c r="R183" s="146"/>
      <c r="S183" s="146"/>
      <c r="T183" s="146"/>
      <c r="U183" s="146"/>
      <c r="V183" s="146"/>
      <c r="W183" s="146"/>
      <c r="X183" s="146"/>
      <c r="Y183" s="146"/>
      <c r="Z183" s="146"/>
      <c r="AA183" s="146"/>
      <c r="AB183" s="146"/>
      <c r="AC183" s="146"/>
      <c r="AD183" s="146"/>
      <c r="AE183" s="146"/>
      <c r="AF183" s="146"/>
      <c r="AG183" s="146"/>
      <c r="AH183" s="146"/>
    </row>
    <row r="184" spans="2:34" ht="20.149999999999999" customHeight="1" x14ac:dyDescent="0.35">
      <c r="B184" s="151"/>
      <c r="C184" s="151"/>
      <c r="D184" s="151"/>
      <c r="E184" s="151"/>
      <c r="F184" s="146"/>
      <c r="G184" s="146"/>
      <c r="H184" s="146"/>
      <c r="I184" s="146"/>
      <c r="J184" s="146"/>
      <c r="K184" s="146"/>
      <c r="L184" s="146"/>
      <c r="M184" s="146"/>
      <c r="N184" s="146"/>
      <c r="O184" s="146"/>
      <c r="P184" s="146"/>
      <c r="Q184" s="146"/>
      <c r="R184" s="146"/>
      <c r="S184" s="146"/>
      <c r="T184" s="146"/>
      <c r="U184" s="146"/>
      <c r="V184" s="146"/>
      <c r="W184" s="146"/>
      <c r="X184" s="146"/>
      <c r="Y184" s="146"/>
      <c r="Z184" s="146"/>
      <c r="AA184" s="146"/>
      <c r="AB184" s="146"/>
      <c r="AC184" s="146"/>
      <c r="AD184" s="146"/>
      <c r="AE184" s="146"/>
      <c r="AF184" s="146"/>
      <c r="AG184" s="146"/>
      <c r="AH184" s="146"/>
    </row>
    <row r="185" spans="2:34" ht="20.149999999999999" customHeight="1" x14ac:dyDescent="0.35">
      <c r="B185" s="151"/>
      <c r="C185" s="151"/>
      <c r="D185" s="151"/>
      <c r="E185" s="151"/>
      <c r="F185" s="146"/>
      <c r="G185" s="146"/>
      <c r="H185" s="146"/>
      <c r="I185" s="146"/>
      <c r="J185" s="146"/>
      <c r="K185" s="146"/>
      <c r="L185" s="146"/>
      <c r="M185" s="146"/>
      <c r="N185" s="146"/>
      <c r="O185" s="146"/>
      <c r="P185" s="146"/>
      <c r="Q185" s="146"/>
      <c r="R185" s="146"/>
      <c r="S185" s="146"/>
      <c r="T185" s="146"/>
      <c r="U185" s="146"/>
      <c r="V185" s="146"/>
      <c r="W185" s="146"/>
      <c r="X185" s="146"/>
      <c r="Y185" s="146"/>
      <c r="Z185" s="146"/>
      <c r="AA185" s="146"/>
      <c r="AB185" s="146"/>
      <c r="AC185" s="146"/>
      <c r="AD185" s="146"/>
      <c r="AE185" s="146"/>
      <c r="AF185" s="146"/>
      <c r="AG185" s="146"/>
      <c r="AH185" s="146"/>
    </row>
    <row r="186" spans="2:34" ht="20.149999999999999" customHeight="1" x14ac:dyDescent="0.35">
      <c r="B186" s="151"/>
      <c r="C186" s="151"/>
      <c r="D186" s="151"/>
      <c r="E186" s="151"/>
      <c r="F186" s="146"/>
      <c r="G186" s="146"/>
      <c r="H186" s="146"/>
      <c r="I186" s="146"/>
      <c r="J186" s="146"/>
      <c r="K186" s="146"/>
      <c r="L186" s="146"/>
      <c r="M186" s="146"/>
      <c r="N186" s="146"/>
      <c r="O186" s="146"/>
      <c r="P186" s="146"/>
      <c r="Q186" s="146"/>
      <c r="R186" s="146"/>
      <c r="S186" s="146"/>
      <c r="T186" s="146"/>
      <c r="U186" s="146"/>
      <c r="V186" s="146"/>
      <c r="W186" s="146"/>
      <c r="X186" s="146"/>
      <c r="Y186" s="146"/>
      <c r="Z186" s="146"/>
      <c r="AA186" s="146"/>
      <c r="AB186" s="146"/>
      <c r="AC186" s="146"/>
      <c r="AD186" s="146"/>
      <c r="AE186" s="146"/>
      <c r="AF186" s="146"/>
      <c r="AG186" s="146"/>
      <c r="AH186" s="146"/>
    </row>
    <row r="187" spans="2:34" ht="20.149999999999999" customHeight="1" x14ac:dyDescent="0.35">
      <c r="B187" s="151"/>
      <c r="C187" s="151"/>
      <c r="D187" s="151"/>
      <c r="E187" s="151"/>
      <c r="F187" s="146"/>
      <c r="G187" s="146"/>
      <c r="H187" s="146"/>
      <c r="I187" s="146"/>
      <c r="J187" s="146"/>
      <c r="K187" s="146"/>
      <c r="L187" s="146"/>
      <c r="M187" s="146"/>
      <c r="N187" s="146"/>
      <c r="O187" s="146"/>
      <c r="P187" s="146"/>
      <c r="Q187" s="146"/>
      <c r="R187" s="146"/>
      <c r="S187" s="146"/>
      <c r="T187" s="146"/>
      <c r="U187" s="146"/>
      <c r="V187" s="146"/>
      <c r="W187" s="146"/>
      <c r="X187" s="146"/>
      <c r="Y187" s="146"/>
      <c r="Z187" s="146"/>
      <c r="AA187" s="146"/>
      <c r="AB187" s="146"/>
      <c r="AC187" s="146"/>
      <c r="AD187" s="146"/>
      <c r="AE187" s="146"/>
      <c r="AF187" s="146"/>
      <c r="AG187" s="146"/>
      <c r="AH187" s="146"/>
    </row>
    <row r="188" spans="2:34" ht="20.149999999999999" customHeight="1" x14ac:dyDescent="0.35">
      <c r="B188" s="151"/>
      <c r="C188" s="151"/>
      <c r="D188" s="151"/>
      <c r="E188" s="151"/>
      <c r="F188" s="146"/>
      <c r="G188" s="146"/>
      <c r="H188" s="146"/>
      <c r="I188" s="146"/>
      <c r="J188" s="146"/>
      <c r="K188" s="146"/>
      <c r="L188" s="146"/>
      <c r="M188" s="146"/>
      <c r="N188" s="146"/>
      <c r="O188" s="146"/>
      <c r="P188" s="146"/>
      <c r="Q188" s="146"/>
      <c r="R188" s="146"/>
      <c r="S188" s="146"/>
      <c r="T188" s="146"/>
      <c r="U188" s="146"/>
      <c r="V188" s="146"/>
      <c r="W188" s="146"/>
      <c r="X188" s="146"/>
      <c r="Y188" s="146"/>
      <c r="Z188" s="146"/>
      <c r="AA188" s="146"/>
      <c r="AB188" s="146"/>
      <c r="AC188" s="146"/>
      <c r="AD188" s="146"/>
      <c r="AE188" s="146"/>
      <c r="AF188" s="146"/>
      <c r="AG188" s="146"/>
      <c r="AH188" s="146"/>
    </row>
    <row r="189" spans="2:34" ht="20.149999999999999" customHeight="1" x14ac:dyDescent="0.35">
      <c r="B189" s="151"/>
      <c r="C189" s="151"/>
      <c r="D189" s="151"/>
      <c r="E189" s="151"/>
      <c r="F189" s="146"/>
      <c r="G189" s="146"/>
      <c r="H189" s="146"/>
      <c r="I189" s="146"/>
      <c r="J189" s="146"/>
      <c r="K189" s="146"/>
      <c r="L189" s="146"/>
      <c r="M189" s="146"/>
      <c r="N189" s="146"/>
      <c r="O189" s="146"/>
      <c r="P189" s="146"/>
      <c r="Q189" s="146"/>
      <c r="R189" s="146"/>
      <c r="S189" s="146"/>
      <c r="T189" s="146"/>
      <c r="U189" s="146"/>
      <c r="V189" s="146"/>
      <c r="W189" s="146"/>
      <c r="X189" s="146"/>
      <c r="Y189" s="146"/>
      <c r="Z189" s="146"/>
      <c r="AA189" s="146"/>
      <c r="AB189" s="146"/>
      <c r="AC189" s="146"/>
      <c r="AD189" s="146"/>
      <c r="AE189" s="146"/>
      <c r="AF189" s="146"/>
      <c r="AG189" s="146"/>
      <c r="AH189" s="146"/>
    </row>
    <row r="190" spans="2:34" ht="20.149999999999999" customHeight="1" x14ac:dyDescent="0.35">
      <c r="B190" s="151"/>
      <c r="C190" s="151"/>
      <c r="D190" s="151"/>
      <c r="E190" s="151"/>
      <c r="F190" s="146"/>
      <c r="G190" s="146"/>
      <c r="H190" s="146"/>
      <c r="I190" s="146"/>
      <c r="J190" s="146"/>
      <c r="K190" s="146"/>
      <c r="L190" s="146"/>
      <c r="M190" s="146"/>
      <c r="N190" s="146"/>
      <c r="O190" s="146"/>
      <c r="P190" s="146"/>
      <c r="Q190" s="146"/>
      <c r="R190" s="146"/>
      <c r="S190" s="146"/>
      <c r="T190" s="146"/>
      <c r="U190" s="146"/>
      <c r="V190" s="146"/>
      <c r="W190" s="146"/>
      <c r="X190" s="146"/>
      <c r="Y190" s="146"/>
      <c r="Z190" s="146"/>
      <c r="AA190" s="146"/>
      <c r="AB190" s="146"/>
      <c r="AC190" s="146"/>
      <c r="AD190" s="146"/>
      <c r="AE190" s="146"/>
      <c r="AF190" s="146"/>
      <c r="AG190" s="146"/>
      <c r="AH190" s="146"/>
    </row>
    <row r="191" spans="2:34" ht="20.149999999999999" customHeight="1" x14ac:dyDescent="0.35">
      <c r="B191" s="151"/>
      <c r="C191" s="151"/>
      <c r="D191" s="151"/>
      <c r="E191" s="151"/>
      <c r="F191" s="146"/>
      <c r="G191" s="146"/>
      <c r="H191" s="146"/>
      <c r="I191" s="146"/>
      <c r="J191" s="146"/>
      <c r="K191" s="146"/>
      <c r="L191" s="146"/>
      <c r="M191" s="146"/>
      <c r="N191" s="146"/>
      <c r="O191" s="146"/>
      <c r="P191" s="146"/>
      <c r="Q191" s="146"/>
      <c r="R191" s="146"/>
      <c r="S191" s="146"/>
      <c r="T191" s="146"/>
      <c r="U191" s="146"/>
      <c r="V191" s="146"/>
      <c r="W191" s="146"/>
      <c r="X191" s="146"/>
      <c r="Y191" s="146"/>
      <c r="Z191" s="146"/>
      <c r="AA191" s="146"/>
      <c r="AB191" s="146"/>
      <c r="AC191" s="146"/>
      <c r="AD191" s="146"/>
      <c r="AE191" s="146"/>
      <c r="AF191" s="146"/>
      <c r="AG191" s="146"/>
      <c r="AH191" s="146"/>
    </row>
    <row r="192" spans="2:34" ht="20.149999999999999" customHeight="1" x14ac:dyDescent="0.35">
      <c r="B192" s="151"/>
      <c r="C192" s="151"/>
      <c r="D192" s="151"/>
      <c r="E192" s="151"/>
      <c r="F192" s="146"/>
      <c r="G192" s="146"/>
      <c r="H192" s="146"/>
      <c r="I192" s="146"/>
      <c r="J192" s="146"/>
      <c r="K192" s="146"/>
      <c r="L192" s="146"/>
      <c r="M192" s="146"/>
      <c r="N192" s="146"/>
      <c r="O192" s="146"/>
      <c r="P192" s="146"/>
      <c r="Q192" s="146"/>
      <c r="R192" s="146"/>
      <c r="S192" s="146"/>
      <c r="T192" s="146"/>
      <c r="U192" s="146"/>
      <c r="V192" s="146"/>
      <c r="W192" s="146"/>
      <c r="X192" s="146"/>
      <c r="Y192" s="146"/>
      <c r="Z192" s="146"/>
      <c r="AA192" s="146"/>
      <c r="AB192" s="146"/>
      <c r="AC192" s="146"/>
      <c r="AD192" s="146"/>
      <c r="AE192" s="146"/>
      <c r="AF192" s="146"/>
      <c r="AG192" s="146"/>
      <c r="AH192" s="146"/>
    </row>
    <row r="193" spans="2:34" ht="20.149999999999999" customHeight="1" x14ac:dyDescent="0.35">
      <c r="B193" s="151"/>
      <c r="C193" s="151"/>
      <c r="D193" s="151"/>
      <c r="E193" s="151"/>
      <c r="F193" s="146"/>
      <c r="G193" s="146"/>
      <c r="H193" s="146"/>
      <c r="I193" s="146"/>
      <c r="J193" s="146"/>
      <c r="K193" s="146"/>
      <c r="L193" s="146"/>
      <c r="M193" s="146"/>
      <c r="N193" s="146"/>
      <c r="O193" s="146"/>
      <c r="P193" s="146"/>
      <c r="Q193" s="146"/>
      <c r="R193" s="146"/>
      <c r="S193" s="146"/>
      <c r="T193" s="146"/>
      <c r="U193" s="146"/>
      <c r="V193" s="146"/>
      <c r="W193" s="146"/>
      <c r="X193" s="146"/>
      <c r="Y193" s="146"/>
      <c r="Z193" s="146"/>
      <c r="AA193" s="146"/>
      <c r="AB193" s="146"/>
      <c r="AC193" s="146"/>
      <c r="AD193" s="146"/>
      <c r="AE193" s="146"/>
      <c r="AF193" s="146"/>
      <c r="AG193" s="146"/>
      <c r="AH193" s="146"/>
    </row>
    <row r="194" spans="2:34" ht="20.149999999999999" customHeight="1" x14ac:dyDescent="0.35">
      <c r="B194" s="151"/>
      <c r="C194" s="151"/>
      <c r="D194" s="151"/>
      <c r="E194" s="151"/>
      <c r="F194" s="146"/>
      <c r="G194" s="146"/>
      <c r="H194" s="146"/>
      <c r="I194" s="146"/>
      <c r="J194" s="146"/>
      <c r="K194" s="146"/>
      <c r="L194" s="146"/>
      <c r="M194" s="146"/>
      <c r="N194" s="146"/>
      <c r="O194" s="146"/>
      <c r="P194" s="146"/>
      <c r="Q194" s="146"/>
      <c r="R194" s="146"/>
      <c r="S194" s="146"/>
      <c r="T194" s="146"/>
      <c r="U194" s="146"/>
      <c r="V194" s="146"/>
      <c r="W194" s="146"/>
      <c r="X194" s="146"/>
      <c r="Y194" s="146"/>
      <c r="Z194" s="146"/>
      <c r="AA194" s="146"/>
      <c r="AB194" s="146"/>
      <c r="AC194" s="146"/>
      <c r="AD194" s="146"/>
      <c r="AE194" s="146"/>
      <c r="AF194" s="146"/>
      <c r="AG194" s="146"/>
      <c r="AH194" s="146"/>
    </row>
    <row r="195" spans="2:34" ht="20.149999999999999" customHeight="1" x14ac:dyDescent="0.35">
      <c r="B195" s="151"/>
      <c r="C195" s="151"/>
      <c r="D195" s="151"/>
      <c r="E195" s="151"/>
      <c r="F195" s="146"/>
      <c r="G195" s="146"/>
      <c r="H195" s="146"/>
      <c r="I195" s="146"/>
      <c r="J195" s="146"/>
      <c r="K195" s="146"/>
      <c r="L195" s="146"/>
      <c r="M195" s="146"/>
      <c r="N195" s="146"/>
      <c r="O195" s="146"/>
      <c r="P195" s="146"/>
      <c r="Q195" s="146"/>
      <c r="R195" s="146"/>
      <c r="S195" s="146"/>
      <c r="T195" s="146"/>
      <c r="U195" s="146"/>
      <c r="V195" s="146"/>
      <c r="W195" s="146"/>
      <c r="X195" s="146"/>
      <c r="Y195" s="146"/>
      <c r="Z195" s="146"/>
      <c r="AA195" s="146"/>
      <c r="AB195" s="146"/>
      <c r="AC195" s="146"/>
      <c r="AD195" s="146"/>
      <c r="AE195" s="146"/>
      <c r="AF195" s="146"/>
      <c r="AG195" s="146"/>
      <c r="AH195" s="146"/>
    </row>
    <row r="196" spans="2:34" ht="20.149999999999999" customHeight="1" x14ac:dyDescent="0.35">
      <c r="B196" s="151"/>
      <c r="C196" s="151"/>
      <c r="D196" s="151"/>
      <c r="E196" s="151"/>
      <c r="F196" s="146"/>
      <c r="G196" s="146"/>
      <c r="H196" s="146"/>
      <c r="I196" s="146"/>
      <c r="J196" s="146"/>
      <c r="K196" s="146"/>
      <c r="L196" s="146"/>
      <c r="M196" s="146"/>
      <c r="N196" s="146"/>
      <c r="O196" s="146"/>
      <c r="P196" s="146"/>
      <c r="Q196" s="146"/>
      <c r="R196" s="146"/>
      <c r="S196" s="146"/>
      <c r="T196" s="146"/>
      <c r="U196" s="146"/>
      <c r="V196" s="146"/>
      <c r="W196" s="146"/>
      <c r="X196" s="146"/>
      <c r="Y196" s="146"/>
      <c r="Z196" s="146"/>
      <c r="AA196" s="146"/>
      <c r="AB196" s="146"/>
      <c r="AC196" s="146"/>
      <c r="AD196" s="146"/>
      <c r="AE196" s="146"/>
      <c r="AF196" s="146"/>
      <c r="AG196" s="146"/>
      <c r="AH196" s="146"/>
    </row>
    <row r="197" spans="2:34" ht="20.149999999999999" customHeight="1" x14ac:dyDescent="0.35">
      <c r="B197" s="151"/>
      <c r="C197" s="151"/>
      <c r="D197" s="151"/>
      <c r="E197" s="151"/>
      <c r="F197" s="146"/>
      <c r="G197" s="146"/>
      <c r="H197" s="146"/>
      <c r="I197" s="146"/>
      <c r="J197" s="146"/>
      <c r="K197" s="146"/>
      <c r="L197" s="146"/>
      <c r="M197" s="146"/>
      <c r="N197" s="146"/>
      <c r="O197" s="146"/>
      <c r="P197" s="146"/>
      <c r="Q197" s="146"/>
      <c r="R197" s="146"/>
      <c r="S197" s="146"/>
      <c r="T197" s="146"/>
      <c r="U197" s="146"/>
      <c r="V197" s="146"/>
      <c r="W197" s="146"/>
      <c r="X197" s="146"/>
      <c r="Y197" s="146"/>
      <c r="Z197" s="146"/>
      <c r="AA197" s="146"/>
      <c r="AB197" s="146"/>
      <c r="AC197" s="146"/>
      <c r="AD197" s="146"/>
      <c r="AE197" s="146"/>
      <c r="AF197" s="146"/>
      <c r="AG197" s="146"/>
      <c r="AH197" s="146"/>
    </row>
    <row r="198" spans="2:34" ht="20.149999999999999" customHeight="1" x14ac:dyDescent="0.35">
      <c r="B198" s="151"/>
      <c r="C198" s="151"/>
      <c r="D198" s="151"/>
      <c r="E198" s="151"/>
      <c r="F198" s="146"/>
      <c r="G198" s="146"/>
      <c r="H198" s="146"/>
      <c r="I198" s="146"/>
      <c r="J198" s="146"/>
      <c r="K198" s="146"/>
      <c r="L198" s="146"/>
      <c r="M198" s="146"/>
      <c r="N198" s="146"/>
      <c r="O198" s="146"/>
      <c r="P198" s="146"/>
      <c r="Q198" s="146"/>
      <c r="R198" s="146"/>
      <c r="S198" s="146"/>
      <c r="T198" s="146"/>
      <c r="U198" s="146"/>
      <c r="V198" s="146"/>
      <c r="W198" s="146"/>
      <c r="X198" s="146"/>
      <c r="Y198" s="146"/>
      <c r="Z198" s="146"/>
      <c r="AA198" s="146"/>
      <c r="AB198" s="146"/>
      <c r="AC198" s="146"/>
      <c r="AD198" s="146"/>
      <c r="AE198" s="146"/>
      <c r="AF198" s="146"/>
      <c r="AG198" s="146"/>
      <c r="AH198" s="146"/>
    </row>
    <row r="199" spans="2:34" ht="20.149999999999999" customHeight="1" x14ac:dyDescent="0.35">
      <c r="B199" s="151"/>
      <c r="C199" s="151"/>
      <c r="D199" s="151"/>
      <c r="E199" s="151"/>
      <c r="F199" s="146"/>
      <c r="G199" s="146"/>
      <c r="H199" s="146"/>
      <c r="I199" s="146"/>
      <c r="J199" s="146"/>
      <c r="K199" s="146"/>
      <c r="L199" s="146"/>
      <c r="M199" s="146"/>
      <c r="N199" s="146"/>
      <c r="O199" s="146"/>
      <c r="P199" s="146"/>
      <c r="Q199" s="146"/>
      <c r="R199" s="146"/>
      <c r="S199" s="146"/>
      <c r="T199" s="146"/>
      <c r="U199" s="146"/>
      <c r="V199" s="146"/>
      <c r="W199" s="146"/>
      <c r="X199" s="146"/>
      <c r="Y199" s="146"/>
      <c r="Z199" s="146"/>
      <c r="AA199" s="146"/>
      <c r="AB199" s="146"/>
      <c r="AC199" s="146"/>
      <c r="AD199" s="146"/>
      <c r="AE199" s="146"/>
      <c r="AF199" s="146"/>
      <c r="AG199" s="146"/>
      <c r="AH199" s="146"/>
    </row>
    <row r="200" spans="2:34" ht="20.149999999999999" customHeight="1" x14ac:dyDescent="0.35">
      <c r="B200" s="151"/>
      <c r="C200" s="151"/>
      <c r="D200" s="151"/>
      <c r="E200" s="151"/>
      <c r="F200" s="146"/>
      <c r="G200" s="146"/>
      <c r="H200" s="146"/>
      <c r="I200" s="146"/>
      <c r="J200" s="146"/>
      <c r="K200" s="146"/>
      <c r="L200" s="146"/>
      <c r="M200" s="146"/>
      <c r="N200" s="146"/>
      <c r="O200" s="146"/>
      <c r="P200" s="146"/>
      <c r="Q200" s="146"/>
      <c r="R200" s="146"/>
      <c r="S200" s="146"/>
      <c r="T200" s="146"/>
      <c r="U200" s="146"/>
      <c r="V200" s="146"/>
      <c r="W200" s="146"/>
      <c r="X200" s="146"/>
      <c r="Y200" s="146"/>
      <c r="Z200" s="146"/>
      <c r="AA200" s="146"/>
      <c r="AB200" s="146"/>
      <c r="AC200" s="146"/>
      <c r="AD200" s="146"/>
      <c r="AE200" s="146"/>
      <c r="AF200" s="146"/>
      <c r="AG200" s="146"/>
      <c r="AH200" s="146"/>
    </row>
    <row r="201" spans="2:34" ht="20.149999999999999" customHeight="1" x14ac:dyDescent="0.35">
      <c r="B201" s="151"/>
      <c r="C201" s="151"/>
      <c r="D201" s="151"/>
      <c r="E201" s="151"/>
      <c r="F201" s="146"/>
      <c r="G201" s="146"/>
      <c r="H201" s="146"/>
      <c r="I201" s="146"/>
      <c r="J201" s="146"/>
      <c r="K201" s="146"/>
      <c r="L201" s="146"/>
      <c r="M201" s="146"/>
      <c r="N201" s="146"/>
      <c r="O201" s="146"/>
      <c r="P201" s="146"/>
      <c r="Q201" s="146"/>
      <c r="R201" s="146"/>
      <c r="S201" s="146"/>
      <c r="T201" s="146"/>
      <c r="U201" s="146"/>
      <c r="V201" s="146"/>
      <c r="W201" s="146"/>
      <c r="X201" s="146"/>
      <c r="Y201" s="146"/>
      <c r="Z201" s="146"/>
      <c r="AA201" s="146"/>
      <c r="AB201" s="146"/>
      <c r="AC201" s="146"/>
      <c r="AD201" s="146"/>
      <c r="AE201" s="146"/>
      <c r="AF201" s="146"/>
      <c r="AG201" s="146"/>
      <c r="AH201" s="146"/>
    </row>
    <row r="202" spans="2:34" ht="20.149999999999999" customHeight="1" x14ac:dyDescent="0.35">
      <c r="B202" s="151"/>
      <c r="C202" s="151"/>
      <c r="D202" s="151"/>
      <c r="E202" s="151"/>
      <c r="F202" s="146"/>
      <c r="G202" s="146"/>
      <c r="H202" s="146"/>
      <c r="I202" s="146"/>
      <c r="J202" s="146"/>
      <c r="K202" s="146"/>
      <c r="L202" s="146"/>
      <c r="M202" s="146"/>
      <c r="N202" s="146"/>
      <c r="O202" s="146"/>
      <c r="P202" s="146"/>
      <c r="Q202" s="146"/>
      <c r="R202" s="146"/>
      <c r="S202" s="146"/>
      <c r="T202" s="146"/>
      <c r="U202" s="146"/>
      <c r="V202" s="146"/>
      <c r="W202" s="146"/>
      <c r="X202" s="146"/>
      <c r="Y202" s="146"/>
      <c r="Z202" s="146"/>
      <c r="AA202" s="146"/>
      <c r="AB202" s="146"/>
      <c r="AC202" s="146"/>
      <c r="AD202" s="146"/>
      <c r="AE202" s="146"/>
      <c r="AF202" s="146"/>
      <c r="AG202" s="146"/>
      <c r="AH202" s="146"/>
    </row>
    <row r="203" spans="2:34" ht="20.149999999999999" customHeight="1" x14ac:dyDescent="0.35">
      <c r="B203" s="151"/>
      <c r="C203" s="151"/>
      <c r="D203" s="151"/>
      <c r="E203" s="151"/>
      <c r="F203" s="146"/>
      <c r="G203" s="146"/>
      <c r="H203" s="146"/>
      <c r="I203" s="146"/>
      <c r="J203" s="146"/>
      <c r="K203" s="146"/>
      <c r="L203" s="146"/>
      <c r="M203" s="146"/>
      <c r="N203" s="146"/>
      <c r="O203" s="146"/>
      <c r="P203" s="146"/>
      <c r="Q203" s="146"/>
      <c r="R203" s="146"/>
      <c r="S203" s="146"/>
      <c r="T203" s="146"/>
      <c r="U203" s="146"/>
      <c r="V203" s="146"/>
      <c r="W203" s="146"/>
      <c r="X203" s="146"/>
      <c r="Y203" s="146"/>
      <c r="Z203" s="146"/>
      <c r="AA203" s="146"/>
      <c r="AB203" s="146"/>
      <c r="AC203" s="146"/>
      <c r="AD203" s="146"/>
      <c r="AE203" s="146"/>
      <c r="AF203" s="146"/>
      <c r="AG203" s="146"/>
      <c r="AH203" s="146"/>
    </row>
    <row r="204" spans="2:34" ht="20.149999999999999" customHeight="1" x14ac:dyDescent="0.35">
      <c r="B204" s="151"/>
      <c r="C204" s="151"/>
      <c r="D204" s="151"/>
      <c r="E204" s="151"/>
      <c r="F204" s="146"/>
      <c r="G204" s="146"/>
      <c r="H204" s="146"/>
      <c r="I204" s="146"/>
      <c r="J204" s="146"/>
      <c r="K204" s="146"/>
      <c r="L204" s="146"/>
      <c r="M204" s="146"/>
      <c r="N204" s="146"/>
      <c r="O204" s="146"/>
      <c r="P204" s="146"/>
      <c r="Q204" s="146"/>
      <c r="R204" s="146"/>
      <c r="S204" s="146"/>
      <c r="T204" s="146"/>
      <c r="U204" s="146"/>
      <c r="V204" s="146"/>
      <c r="W204" s="146"/>
      <c r="X204" s="146"/>
      <c r="Y204" s="146"/>
      <c r="Z204" s="146"/>
      <c r="AA204" s="146"/>
      <c r="AB204" s="146"/>
      <c r="AC204" s="146"/>
      <c r="AD204" s="146"/>
      <c r="AE204" s="146"/>
      <c r="AF204" s="146"/>
      <c r="AG204" s="146"/>
      <c r="AH204" s="146"/>
    </row>
    <row r="205" spans="2:34" ht="20.149999999999999" customHeight="1" x14ac:dyDescent="0.35">
      <c r="B205" s="151"/>
      <c r="C205" s="151"/>
      <c r="D205" s="151"/>
      <c r="E205" s="151"/>
      <c r="F205" s="146"/>
      <c r="G205" s="146"/>
      <c r="H205" s="146"/>
      <c r="I205" s="146"/>
      <c r="J205" s="146"/>
      <c r="K205" s="146"/>
      <c r="L205" s="146"/>
      <c r="M205" s="146"/>
      <c r="N205" s="146"/>
      <c r="O205" s="146"/>
      <c r="P205" s="146"/>
      <c r="Q205" s="146"/>
      <c r="R205" s="146"/>
      <c r="S205" s="146"/>
      <c r="T205" s="146"/>
      <c r="U205" s="146"/>
      <c r="V205" s="146"/>
      <c r="W205" s="146"/>
      <c r="X205" s="146"/>
      <c r="Y205" s="146"/>
      <c r="Z205" s="146"/>
      <c r="AA205" s="146"/>
      <c r="AB205" s="146"/>
      <c r="AC205" s="146"/>
      <c r="AD205" s="146"/>
      <c r="AE205" s="146"/>
      <c r="AF205" s="146"/>
      <c r="AG205" s="146"/>
      <c r="AH205" s="146"/>
    </row>
    <row r="206" spans="2:34" ht="20.149999999999999" customHeight="1" x14ac:dyDescent="0.35">
      <c r="B206" s="151"/>
      <c r="C206" s="151"/>
      <c r="D206" s="151"/>
      <c r="E206" s="151"/>
      <c r="F206" s="146"/>
      <c r="G206" s="146"/>
      <c r="H206" s="146"/>
      <c r="I206" s="146"/>
      <c r="J206" s="146"/>
      <c r="K206" s="146"/>
      <c r="L206" s="146"/>
      <c r="M206" s="146"/>
      <c r="N206" s="146"/>
      <c r="O206" s="146"/>
      <c r="P206" s="146"/>
      <c r="Q206" s="146"/>
      <c r="R206" s="146"/>
      <c r="S206" s="146"/>
      <c r="T206" s="146"/>
      <c r="U206" s="146"/>
      <c r="V206" s="146"/>
      <c r="W206" s="146"/>
      <c r="X206" s="146"/>
      <c r="Y206" s="146"/>
      <c r="Z206" s="146"/>
      <c r="AA206" s="146"/>
      <c r="AB206" s="146"/>
      <c r="AC206" s="146"/>
      <c r="AD206" s="146"/>
      <c r="AE206" s="146"/>
      <c r="AF206" s="146"/>
      <c r="AG206" s="146"/>
      <c r="AH206" s="146"/>
    </row>
    <row r="207" spans="2:34" ht="20.149999999999999" customHeight="1" x14ac:dyDescent="0.35">
      <c r="B207" s="151"/>
      <c r="C207" s="151"/>
      <c r="D207" s="151"/>
      <c r="E207" s="151"/>
      <c r="F207" s="146"/>
      <c r="G207" s="146"/>
      <c r="H207" s="146"/>
      <c r="I207" s="146"/>
      <c r="J207" s="146"/>
      <c r="K207" s="146"/>
      <c r="L207" s="146"/>
      <c r="M207" s="146"/>
      <c r="N207" s="146"/>
      <c r="O207" s="146"/>
      <c r="P207" s="146"/>
      <c r="Q207" s="146"/>
      <c r="R207" s="146"/>
      <c r="S207" s="146"/>
      <c r="T207" s="146"/>
      <c r="U207" s="146"/>
      <c r="V207" s="146"/>
      <c r="W207" s="146"/>
      <c r="X207" s="146"/>
      <c r="Y207" s="146"/>
      <c r="Z207" s="146"/>
      <c r="AA207" s="146"/>
      <c r="AB207" s="146"/>
      <c r="AC207" s="146"/>
      <c r="AD207" s="146"/>
      <c r="AE207" s="146"/>
      <c r="AF207" s="146"/>
      <c r="AG207" s="146"/>
      <c r="AH207" s="146"/>
    </row>
    <row r="208" spans="2:34" ht="20.149999999999999" customHeight="1" x14ac:dyDescent="0.35">
      <c r="B208" s="151"/>
      <c r="C208" s="151"/>
      <c r="D208" s="151"/>
      <c r="E208" s="151"/>
      <c r="F208" s="146"/>
      <c r="G208" s="146"/>
      <c r="H208" s="146"/>
      <c r="I208" s="146"/>
      <c r="J208" s="146"/>
      <c r="K208" s="146"/>
      <c r="L208" s="146"/>
      <c r="M208" s="146"/>
      <c r="N208" s="146"/>
      <c r="O208" s="146"/>
      <c r="P208" s="146"/>
      <c r="Q208" s="146"/>
      <c r="R208" s="146"/>
      <c r="S208" s="146"/>
      <c r="T208" s="146"/>
      <c r="U208" s="146"/>
      <c r="V208" s="146"/>
      <c r="W208" s="146"/>
      <c r="X208" s="146"/>
      <c r="Y208" s="146"/>
      <c r="Z208" s="146"/>
      <c r="AA208" s="146"/>
      <c r="AB208" s="146"/>
      <c r="AC208" s="146"/>
      <c r="AD208" s="146"/>
      <c r="AE208" s="146"/>
      <c r="AF208" s="146"/>
      <c r="AG208" s="146"/>
      <c r="AH208" s="146"/>
    </row>
    <row r="209" spans="2:34" ht="20.149999999999999" customHeight="1" x14ac:dyDescent="0.35">
      <c r="B209" s="151"/>
      <c r="C209" s="151"/>
      <c r="D209" s="151"/>
      <c r="E209" s="151"/>
      <c r="F209" s="146"/>
      <c r="G209" s="146"/>
      <c r="H209" s="146"/>
      <c r="I209" s="146"/>
      <c r="J209" s="146"/>
      <c r="K209" s="146"/>
      <c r="L209" s="146"/>
      <c r="M209" s="146"/>
      <c r="N209" s="146"/>
      <c r="O209" s="146"/>
      <c r="P209" s="146"/>
      <c r="Q209" s="146"/>
      <c r="R209" s="146"/>
      <c r="S209" s="146"/>
      <c r="T209" s="146"/>
      <c r="U209" s="146"/>
      <c r="V209" s="146"/>
      <c r="W209" s="146"/>
      <c r="X209" s="146"/>
      <c r="Y209" s="146"/>
      <c r="Z209" s="146"/>
      <c r="AA209" s="146"/>
      <c r="AB209" s="146"/>
      <c r="AC209" s="146"/>
      <c r="AD209" s="146"/>
      <c r="AE209" s="146"/>
      <c r="AF209" s="146"/>
      <c r="AG209" s="146"/>
      <c r="AH209" s="146"/>
    </row>
  </sheetData>
  <printOptions horizontalCentered="1"/>
  <pageMargins left="0.25" right="0.25" top="0.5" bottom="0.5" header="0.3" footer="0.3"/>
  <pageSetup scale="58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Button 1">
              <controlPr defaultSize="0" print="0" autoFill="0" autoPict="0" macro="[0]!pdfPage24">
                <anchor moveWithCells="1" sizeWithCells="1">
                  <from>
                    <xdr:col>0</xdr:col>
                    <xdr:colOff>69850</xdr:colOff>
                    <xdr:row>0</xdr:row>
                    <xdr:rowOff>19050</xdr:rowOff>
                  </from>
                  <to>
                    <xdr:col>0</xdr:col>
                    <xdr:colOff>95250</xdr:colOff>
                    <xdr:row>0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DED80-A38A-4B5D-B6D5-4AE44B0C6196}">
  <sheetPr transitionEvaluation="1" transitionEntry="1" codeName="Sheet27">
    <pageSetUpPr fitToPage="1"/>
  </sheetPr>
  <dimension ref="A1:AE260"/>
  <sheetViews>
    <sheetView defaultGridColor="0" topLeftCell="A37" colorId="22" zoomScaleNormal="100" zoomScaleSheetLayoutView="120" workbookViewId="0">
      <selection activeCell="K14" sqref="K14"/>
    </sheetView>
  </sheetViews>
  <sheetFormatPr defaultColWidth="9.58203125" defaultRowHeight="15.5" x14ac:dyDescent="0.35"/>
  <cols>
    <col min="1" max="1" width="40.58203125" style="50" customWidth="1"/>
    <col min="2" max="8" width="18.83203125" style="90" customWidth="1"/>
    <col min="9" max="10" width="9.58203125" style="90"/>
    <col min="11" max="11" width="13.25" style="90" customWidth="1"/>
    <col min="12" max="16384" width="9.58203125" style="90"/>
  </cols>
  <sheetData>
    <row r="1" spans="1:31" s="32" customFormat="1" ht="18.5" x14ac:dyDescent="0.45">
      <c r="A1" s="67" t="str">
        <f>Page_1!A1</f>
        <v>IRR 2023 Sch A-13 F.Z25.XLSM</v>
      </c>
      <c r="C1" s="33"/>
      <c r="D1" s="33"/>
      <c r="E1" s="60"/>
      <c r="F1" s="33"/>
      <c r="G1" s="33"/>
      <c r="H1" s="34"/>
    </row>
    <row r="2" spans="1:31" s="32" customFormat="1" ht="18.5" x14ac:dyDescent="0.45">
      <c r="A2" s="11" t="str">
        <f>Page_1!A2</f>
        <v>09/20/2022</v>
      </c>
      <c r="C2" s="33"/>
      <c r="D2" s="33"/>
      <c r="E2" s="33"/>
      <c r="F2" s="33"/>
      <c r="G2" s="33"/>
      <c r="H2" s="34"/>
    </row>
    <row r="3" spans="1:31" s="32" customFormat="1" ht="18.5" x14ac:dyDescent="0.45">
      <c r="A3" s="31" t="str">
        <f>Page_1!A3</f>
        <v>CENTRAL VALLEY PROJECT</v>
      </c>
      <c r="C3" s="33"/>
      <c r="D3" s="33"/>
      <c r="E3" s="33"/>
      <c r="F3" s="33"/>
      <c r="G3" s="33"/>
    </row>
    <row r="4" spans="1:31" s="32" customFormat="1" ht="55.5" x14ac:dyDescent="0.45">
      <c r="A4" s="31" t="str">
        <f>Page_1!A4</f>
        <v>SCHEDULE OF HISTORICAL (1981-2021) &amp; PROJECTED (2022-2030) IRRIGATION WATER DELIVERIES (IN ACRE FEET)</v>
      </c>
      <c r="C4" s="33"/>
      <c r="D4" s="33"/>
      <c r="E4" s="33"/>
      <c r="F4" s="33"/>
      <c r="G4" s="33"/>
    </row>
    <row r="5" spans="1:31" s="32" customFormat="1" ht="55.5" x14ac:dyDescent="0.45">
      <c r="A5" s="31" t="s">
        <v>120</v>
      </c>
    </row>
    <row r="6" spans="1:31" s="68" customFormat="1" ht="62" x14ac:dyDescent="0.35">
      <c r="A6" s="428" t="s">
        <v>34</v>
      </c>
      <c r="B6" s="427" t="s">
        <v>292</v>
      </c>
      <c r="C6" s="421" t="s">
        <v>293</v>
      </c>
      <c r="D6" s="421" t="s">
        <v>294</v>
      </c>
      <c r="E6" s="421" t="s">
        <v>295</v>
      </c>
      <c r="F6" s="421" t="s">
        <v>296</v>
      </c>
      <c r="G6" s="421" t="s">
        <v>297</v>
      </c>
      <c r="H6" s="421" t="s">
        <v>298</v>
      </c>
      <c r="I6" s="88" t="s">
        <v>102</v>
      </c>
    </row>
    <row r="7" spans="1:31" x14ac:dyDescent="0.35">
      <c r="A7" s="18" t="s">
        <v>42</v>
      </c>
      <c r="B7" s="19">
        <f>Page_2!D7</f>
        <v>129</v>
      </c>
      <c r="C7" s="19">
        <f>Page_2!E7</f>
        <v>24000</v>
      </c>
      <c r="D7" s="19">
        <f>Page_2!F7</f>
        <v>4240</v>
      </c>
      <c r="E7" s="126">
        <f>Page_2!G7</f>
        <v>0</v>
      </c>
      <c r="F7" s="19">
        <f>Page_3!E7</f>
        <v>40656</v>
      </c>
      <c r="G7" s="19">
        <f>Page_3!F7</f>
        <v>13064</v>
      </c>
      <c r="H7" s="19">
        <f>Page_4!F7</f>
        <v>242702</v>
      </c>
      <c r="I7" s="19" t="s">
        <v>102</v>
      </c>
      <c r="J7" s="51"/>
      <c r="K7" s="19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  <c r="Z7" s="51"/>
      <c r="AA7" s="51"/>
      <c r="AB7" s="51"/>
      <c r="AC7" s="51"/>
      <c r="AD7" s="51"/>
      <c r="AE7" s="51"/>
    </row>
    <row r="8" spans="1:31" x14ac:dyDescent="0.35">
      <c r="A8" s="18" t="s">
        <v>43</v>
      </c>
      <c r="B8" s="126">
        <f>Page_2!D8</f>
        <v>0</v>
      </c>
      <c r="C8" s="19">
        <f>Page_2!E8</f>
        <v>24000</v>
      </c>
      <c r="D8" s="19">
        <f>Page_2!F8</f>
        <v>4826</v>
      </c>
      <c r="E8" s="126">
        <f>Page_2!G8</f>
        <v>0</v>
      </c>
      <c r="F8" s="19">
        <f>Page_3!E8</f>
        <v>36589</v>
      </c>
      <c r="G8" s="19">
        <f>Page_3!F8</f>
        <v>10148</v>
      </c>
      <c r="H8" s="19">
        <f>Page_4!F8</f>
        <v>8531</v>
      </c>
      <c r="I8" s="19" t="s">
        <v>102</v>
      </c>
      <c r="J8" s="51"/>
      <c r="K8" s="19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  <c r="Z8" s="51"/>
      <c r="AA8" s="51"/>
      <c r="AB8" s="51"/>
      <c r="AC8" s="51"/>
      <c r="AD8" s="51"/>
      <c r="AE8" s="51"/>
    </row>
    <row r="9" spans="1:31" x14ac:dyDescent="0.35">
      <c r="A9" s="18" t="s">
        <v>44</v>
      </c>
      <c r="B9" s="126">
        <f>Page_2!D9</f>
        <v>0</v>
      </c>
      <c r="C9" s="19">
        <f>Page_2!E9</f>
        <v>24000</v>
      </c>
      <c r="D9" s="19">
        <f>Page_2!F9</f>
        <v>13499</v>
      </c>
      <c r="E9" s="126">
        <f>Page_2!G9</f>
        <v>0</v>
      </c>
      <c r="F9" s="19">
        <f>Page_3!E9</f>
        <v>34510</v>
      </c>
      <c r="G9" s="19">
        <f>Page_3!F9</f>
        <v>11614</v>
      </c>
      <c r="H9" s="19">
        <f>Page_4!F9</f>
        <v>128565</v>
      </c>
      <c r="I9" s="19" t="s">
        <v>102</v>
      </c>
      <c r="J9" s="51"/>
      <c r="K9" s="19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  <c r="Z9" s="51"/>
      <c r="AA9" s="51"/>
      <c r="AB9" s="51"/>
      <c r="AC9" s="51"/>
      <c r="AD9" s="51"/>
      <c r="AE9" s="51"/>
    </row>
    <row r="10" spans="1:31" x14ac:dyDescent="0.35">
      <c r="A10" s="18" t="s">
        <v>45</v>
      </c>
      <c r="B10" s="126">
        <f>Page_2!D10</f>
        <v>0</v>
      </c>
      <c r="C10" s="19">
        <f>Page_2!E10</f>
        <v>24000</v>
      </c>
      <c r="D10" s="19">
        <f>Page_2!F10</f>
        <v>14436</v>
      </c>
      <c r="E10" s="126">
        <f>Page_2!G10</f>
        <v>0</v>
      </c>
      <c r="F10" s="19">
        <f>Page_3!E10</f>
        <v>45127</v>
      </c>
      <c r="G10" s="19">
        <f>Page_3!F10</f>
        <v>14226</v>
      </c>
      <c r="H10" s="19">
        <f>Page_4!F10</f>
        <v>208577</v>
      </c>
      <c r="I10" s="19" t="s">
        <v>102</v>
      </c>
      <c r="J10" s="51"/>
      <c r="K10" s="19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</row>
    <row r="11" spans="1:31" x14ac:dyDescent="0.35">
      <c r="A11" s="18" t="s">
        <v>46</v>
      </c>
      <c r="B11" s="19">
        <f>Page_2!D11</f>
        <v>1043</v>
      </c>
      <c r="C11" s="19">
        <f>Page_2!E11</f>
        <v>24000</v>
      </c>
      <c r="D11" s="19">
        <f>Page_2!F11</f>
        <v>13813</v>
      </c>
      <c r="E11" s="126">
        <f>Page_2!G11</f>
        <v>0</v>
      </c>
      <c r="F11" s="19">
        <f>Page_3!E11</f>
        <v>40254</v>
      </c>
      <c r="G11" s="19">
        <f>Page_3!F11</f>
        <v>12967</v>
      </c>
      <c r="H11" s="19">
        <f>Page_4!F11</f>
        <v>144624</v>
      </c>
      <c r="I11" s="19" t="s">
        <v>102</v>
      </c>
      <c r="J11" s="51"/>
      <c r="K11" s="19"/>
      <c r="L11" s="51"/>
      <c r="M11" s="51"/>
      <c r="N11" s="51"/>
      <c r="O11" s="51"/>
      <c r="P11" s="51"/>
      <c r="Q11" s="51"/>
      <c r="R11" s="51"/>
      <c r="S11" s="51"/>
      <c r="T11" s="51"/>
      <c r="U11" s="51"/>
      <c r="V11" s="51"/>
      <c r="W11" s="51"/>
      <c r="X11" s="51"/>
      <c r="Y11" s="51"/>
      <c r="Z11" s="51"/>
      <c r="AA11" s="51"/>
      <c r="AB11" s="51"/>
      <c r="AC11" s="51"/>
      <c r="AD11" s="51"/>
      <c r="AE11" s="51"/>
    </row>
    <row r="12" spans="1:31" x14ac:dyDescent="0.35">
      <c r="A12" s="18" t="s">
        <v>47</v>
      </c>
      <c r="B12" s="19">
        <f>Page_2!D12</f>
        <v>1029</v>
      </c>
      <c r="C12" s="19">
        <f>Page_2!E12</f>
        <v>24000</v>
      </c>
      <c r="D12" s="19">
        <f>Page_2!F12</f>
        <v>13944</v>
      </c>
      <c r="E12" s="126">
        <f>Page_2!G12</f>
        <v>0</v>
      </c>
      <c r="F12" s="19">
        <f>Page_3!E12</f>
        <v>36425</v>
      </c>
      <c r="G12" s="19">
        <f>Page_3!F12</f>
        <v>16942</v>
      </c>
      <c r="H12" s="19">
        <f>Page_4!F12</f>
        <v>34110</v>
      </c>
      <c r="I12" s="19" t="s">
        <v>102</v>
      </c>
      <c r="J12" s="51"/>
      <c r="K12" s="19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</row>
    <row r="13" spans="1:31" x14ac:dyDescent="0.35">
      <c r="A13" s="18" t="s">
        <v>48</v>
      </c>
      <c r="B13" s="19">
        <f>Page_2!D13</f>
        <v>610</v>
      </c>
      <c r="C13" s="19">
        <f>Page_2!E13</f>
        <v>24000</v>
      </c>
      <c r="D13" s="19">
        <f>Page_2!F13</f>
        <v>19123</v>
      </c>
      <c r="E13" s="19">
        <f>Page_2!G13</f>
        <v>1027</v>
      </c>
      <c r="F13" s="19">
        <f>Page_3!E13</f>
        <v>45423</v>
      </c>
      <c r="G13" s="19">
        <f>Page_3!F13</f>
        <v>17343</v>
      </c>
      <c r="H13" s="19">
        <f>Page_4!F13</f>
        <v>228278</v>
      </c>
      <c r="I13" s="19" t="s">
        <v>102</v>
      </c>
      <c r="J13" s="51"/>
      <c r="K13" s="19"/>
      <c r="L13" s="51"/>
      <c r="M13" s="51"/>
      <c r="N13" s="51"/>
      <c r="O13" s="51"/>
      <c r="P13" s="51"/>
      <c r="Q13" s="51"/>
      <c r="R13" s="51"/>
      <c r="S13" s="51"/>
      <c r="T13" s="51"/>
      <c r="U13" s="51"/>
      <c r="V13" s="51"/>
      <c r="W13" s="51"/>
      <c r="X13" s="51"/>
      <c r="Y13" s="51"/>
      <c r="Z13" s="51"/>
      <c r="AA13" s="51"/>
      <c r="AB13" s="51"/>
      <c r="AC13" s="51"/>
      <c r="AD13" s="51"/>
      <c r="AE13" s="51"/>
    </row>
    <row r="14" spans="1:31" x14ac:dyDescent="0.35">
      <c r="A14" s="18" t="s">
        <v>49</v>
      </c>
      <c r="B14" s="19">
        <f>Page_2!D14</f>
        <v>1296</v>
      </c>
      <c r="C14" s="19">
        <f>Page_2!E14</f>
        <v>24000</v>
      </c>
      <c r="D14" s="19">
        <f>Page_2!F14</f>
        <v>7880</v>
      </c>
      <c r="E14" s="19">
        <f>Page_2!G14</f>
        <v>2259</v>
      </c>
      <c r="F14" s="19">
        <f>Page_3!E14</f>
        <v>42333</v>
      </c>
      <c r="G14" s="19">
        <f>Page_3!F14</f>
        <v>14432</v>
      </c>
      <c r="H14" s="19">
        <f>Page_4!F14</f>
        <v>131709</v>
      </c>
      <c r="I14" s="19" t="s">
        <v>102</v>
      </c>
      <c r="J14" s="51"/>
      <c r="K14" s="19"/>
      <c r="L14" s="51"/>
      <c r="M14" s="51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</row>
    <row r="15" spans="1:31" x14ac:dyDescent="0.35">
      <c r="A15" s="18" t="s">
        <v>50</v>
      </c>
      <c r="B15" s="19">
        <f>Page_2!D15</f>
        <v>855</v>
      </c>
      <c r="C15" s="19">
        <f>Page_2!E15</f>
        <v>24000</v>
      </c>
      <c r="D15" s="19">
        <f>Page_2!F15</f>
        <v>6812</v>
      </c>
      <c r="E15" s="19">
        <f>Page_2!G15</f>
        <v>62054</v>
      </c>
      <c r="F15" s="19">
        <f>Page_3!E15</f>
        <v>36551</v>
      </c>
      <c r="G15" s="19">
        <f>Page_3!F15</f>
        <v>14310</v>
      </c>
      <c r="H15" s="19">
        <f>Page_4!F15</f>
        <v>121694</v>
      </c>
      <c r="I15" s="19" t="s">
        <v>102</v>
      </c>
      <c r="J15" s="51"/>
      <c r="K15" s="19"/>
      <c r="L15" s="51"/>
      <c r="M15" s="51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</row>
    <row r="16" spans="1:31" x14ac:dyDescent="0.35">
      <c r="A16" s="429" t="s">
        <v>51</v>
      </c>
      <c r="B16" s="19">
        <f>Page_2!D16</f>
        <v>873</v>
      </c>
      <c r="C16" s="19">
        <f>Page_2!E16</f>
        <v>24000</v>
      </c>
      <c r="D16" s="19">
        <f>Page_2!F16</f>
        <v>12010</v>
      </c>
      <c r="E16" s="19">
        <f>Page_2!G16</f>
        <v>25976</v>
      </c>
      <c r="F16" s="19">
        <f>Page_3!E16</f>
        <v>22805</v>
      </c>
      <c r="G16" s="19">
        <f>Page_3!F16</f>
        <v>18326</v>
      </c>
      <c r="H16" s="19">
        <f>Page_4!F16</f>
        <v>93754</v>
      </c>
      <c r="I16" s="19" t="s">
        <v>102</v>
      </c>
      <c r="J16" s="51"/>
      <c r="K16" s="19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</row>
    <row r="17" spans="1:31" x14ac:dyDescent="0.35">
      <c r="A17" s="18" t="s">
        <v>52</v>
      </c>
      <c r="B17" s="19">
        <f>Page_2!D17</f>
        <v>1020</v>
      </c>
      <c r="C17" s="19">
        <f>Page_2!E17</f>
        <v>24000</v>
      </c>
      <c r="D17" s="19">
        <f>Page_2!F17</f>
        <v>6060</v>
      </c>
      <c r="E17" s="19">
        <f>Page_2!G17</f>
        <v>25701</v>
      </c>
      <c r="F17" s="19">
        <f>Page_3!E17</f>
        <v>25202</v>
      </c>
      <c r="G17" s="19">
        <f>Page_3!F17</f>
        <v>6340</v>
      </c>
      <c r="H17" s="19">
        <f>Page_4!F17</f>
        <v>31940</v>
      </c>
      <c r="I17" s="19" t="s">
        <v>102</v>
      </c>
      <c r="J17" s="51"/>
      <c r="K17" s="19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</row>
    <row r="18" spans="1:31" x14ac:dyDescent="0.35">
      <c r="A18" s="18" t="s">
        <v>53</v>
      </c>
      <c r="B18" s="19">
        <f>Page_2!D18</f>
        <v>817</v>
      </c>
      <c r="C18" s="19">
        <f>Page_2!E18</f>
        <v>24000</v>
      </c>
      <c r="D18" s="19">
        <f>Page_2!F18</f>
        <v>3838</v>
      </c>
      <c r="E18" s="19">
        <f>Page_2!G18</f>
        <v>16852</v>
      </c>
      <c r="F18" s="19">
        <f>Page_3!E18</f>
        <v>-1856</v>
      </c>
      <c r="G18" s="19">
        <f>Page_3!F18</f>
        <v>5944</v>
      </c>
      <c r="H18" s="19">
        <f>Page_4!F18</f>
        <v>34214</v>
      </c>
      <c r="I18" s="19" t="s">
        <v>102</v>
      </c>
      <c r="J18" s="51"/>
      <c r="K18" s="19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</row>
    <row r="19" spans="1:31" x14ac:dyDescent="0.35">
      <c r="A19" s="18" t="s">
        <v>54</v>
      </c>
      <c r="B19" s="19">
        <f>Page_2!D19</f>
        <v>757</v>
      </c>
      <c r="C19" s="19">
        <f>Page_2!E19</f>
        <v>24000</v>
      </c>
      <c r="D19" s="19">
        <f>Page_2!F19</f>
        <v>3702</v>
      </c>
      <c r="E19" s="19">
        <f>Page_2!G19</f>
        <v>37024</v>
      </c>
      <c r="F19" s="19">
        <f>Page_3!E19</f>
        <v>24344</v>
      </c>
      <c r="G19" s="19">
        <f>Page_3!F19</f>
        <v>6987</v>
      </c>
      <c r="H19" s="19">
        <f>Page_4!F19</f>
        <v>26093</v>
      </c>
      <c r="I19" s="19" t="s">
        <v>102</v>
      </c>
      <c r="J19" s="51"/>
      <c r="K19" s="19"/>
      <c r="L19" s="51"/>
      <c r="M19" s="51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</row>
    <row r="20" spans="1:31" x14ac:dyDescent="0.35">
      <c r="A20" s="18" t="s">
        <v>55</v>
      </c>
      <c r="B20" s="19">
        <f>Page_2!D20</f>
        <v>1352</v>
      </c>
      <c r="C20" s="19">
        <f>Page_2!E20</f>
        <v>24000</v>
      </c>
      <c r="D20" s="19">
        <f>Page_2!F20</f>
        <v>13494</v>
      </c>
      <c r="E20" s="19">
        <f>Page_2!G20</f>
        <v>10581</v>
      </c>
      <c r="F20" s="19">
        <f>Page_3!E20</f>
        <v>19730</v>
      </c>
      <c r="G20" s="19">
        <f>Page_3!F20</f>
        <v>18829</v>
      </c>
      <c r="H20" s="19">
        <f>Page_4!F20</f>
        <v>45111</v>
      </c>
      <c r="I20" s="19" t="s">
        <v>102</v>
      </c>
      <c r="J20" s="51"/>
      <c r="K20" s="19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</row>
    <row r="21" spans="1:31" x14ac:dyDescent="0.35">
      <c r="A21" s="18" t="s">
        <v>56</v>
      </c>
      <c r="B21" s="19">
        <f>Page_2!D21</f>
        <v>690</v>
      </c>
      <c r="C21" s="19">
        <f>Page_2!E21</f>
        <v>24000</v>
      </c>
      <c r="D21" s="19">
        <f>Page_2!F21</f>
        <v>4345</v>
      </c>
      <c r="E21" s="19">
        <f>Page_2!G21</f>
        <v>19364</v>
      </c>
      <c r="F21" s="19">
        <f>Page_3!E21</f>
        <v>18482</v>
      </c>
      <c r="G21" s="19">
        <f>Page_3!F21</f>
        <v>6918</v>
      </c>
      <c r="H21" s="19">
        <f>Page_4!F21</f>
        <v>4222</v>
      </c>
      <c r="I21" s="19" t="s">
        <v>102</v>
      </c>
      <c r="J21" s="51"/>
      <c r="K21" s="19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  <c r="AE21" s="51"/>
    </row>
    <row r="22" spans="1:31" x14ac:dyDescent="0.35">
      <c r="A22" s="430" t="s">
        <v>57</v>
      </c>
      <c r="B22" s="51">
        <f>Page_2!D22</f>
        <v>3407</v>
      </c>
      <c r="C22" s="51">
        <f>Page_2!E22</f>
        <v>24000</v>
      </c>
      <c r="D22" s="51">
        <f>Page_2!F22</f>
        <v>2332</v>
      </c>
      <c r="E22" s="51">
        <f>Page_2!G22</f>
        <v>31710</v>
      </c>
      <c r="F22" s="19">
        <f>Page_3!E22</f>
        <v>17645</v>
      </c>
      <c r="G22" s="51">
        <f>Page_3!F22</f>
        <v>9632</v>
      </c>
      <c r="H22" s="126">
        <f>Page_4!F22</f>
        <v>0</v>
      </c>
      <c r="I22" s="19" t="s">
        <v>102</v>
      </c>
      <c r="J22" s="51"/>
      <c r="K22" s="19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  <c r="AE22" s="51"/>
    </row>
    <row r="23" spans="1:31" x14ac:dyDescent="0.35">
      <c r="A23" s="18" t="s">
        <v>58</v>
      </c>
      <c r="B23" s="19">
        <f>Page_2!D23</f>
        <v>2812</v>
      </c>
      <c r="C23" s="19">
        <f>Page_2!E23</f>
        <v>24000</v>
      </c>
      <c r="D23" s="19">
        <f>Page_2!F23</f>
        <v>6520</v>
      </c>
      <c r="E23" s="126">
        <f>Page_2!G23</f>
        <v>0</v>
      </c>
      <c r="F23" s="19">
        <f>Page_3!E23</f>
        <v>12948</v>
      </c>
      <c r="G23" s="19">
        <f>Page_3!F23</f>
        <v>9725</v>
      </c>
      <c r="H23" s="19">
        <f>Page_4!F23</f>
        <v>42500</v>
      </c>
      <c r="I23" s="19" t="s">
        <v>102</v>
      </c>
      <c r="J23" s="51"/>
      <c r="K23" s="19"/>
      <c r="L23" s="51"/>
      <c r="M23" s="51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51"/>
      <c r="Y23" s="51"/>
      <c r="Z23" s="51"/>
      <c r="AA23" s="51"/>
      <c r="AB23" s="51"/>
      <c r="AC23" s="51"/>
      <c r="AD23" s="51"/>
      <c r="AE23" s="51"/>
    </row>
    <row r="24" spans="1:31" x14ac:dyDescent="0.35">
      <c r="A24" s="18" t="s">
        <v>59</v>
      </c>
      <c r="B24" s="19">
        <f>Page_2!D24</f>
        <v>2625</v>
      </c>
      <c r="C24" s="19">
        <f>Page_2!E24</f>
        <v>24000</v>
      </c>
      <c r="D24" s="19">
        <f>Page_2!F24</f>
        <v>3161</v>
      </c>
      <c r="E24" s="126">
        <f>Page_2!G24</f>
        <v>0</v>
      </c>
      <c r="F24" s="19">
        <f>Page_3!E24</f>
        <v>9017</v>
      </c>
      <c r="G24" s="19">
        <f>Page_3!F24</f>
        <v>8591</v>
      </c>
      <c r="H24" s="19">
        <f>Page_4!F24</f>
        <v>17623</v>
      </c>
      <c r="I24" s="19" t="s">
        <v>102</v>
      </c>
      <c r="J24" s="51"/>
      <c r="K24" s="19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</row>
    <row r="25" spans="1:31" x14ac:dyDescent="0.35">
      <c r="A25" s="18" t="s">
        <v>111</v>
      </c>
      <c r="B25" s="19">
        <f>Page_2!D25</f>
        <v>999</v>
      </c>
      <c r="C25" s="19">
        <f>Page_2!E25</f>
        <v>24000</v>
      </c>
      <c r="D25" s="19">
        <f>Page_2!F25</f>
        <v>3724</v>
      </c>
      <c r="E25" s="19">
        <f>Page_2!G25</f>
        <v>1108</v>
      </c>
      <c r="F25" s="19">
        <f>Page_3!E25</f>
        <v>17692</v>
      </c>
      <c r="G25" s="19">
        <f>Page_3!F25</f>
        <v>9764</v>
      </c>
      <c r="H25" s="19">
        <f>Page_4!F25</f>
        <v>-397</v>
      </c>
      <c r="I25" s="19" t="s">
        <v>102</v>
      </c>
      <c r="J25" s="51"/>
      <c r="K25" s="19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</row>
    <row r="26" spans="1:31" x14ac:dyDescent="0.35">
      <c r="A26" s="18" t="s">
        <v>60</v>
      </c>
      <c r="B26" s="19">
        <f>Page_2!D26</f>
        <v>1372</v>
      </c>
      <c r="C26" s="19">
        <f>Page_2!E26</f>
        <v>24000</v>
      </c>
      <c r="D26" s="19">
        <f>Page_2!F26</f>
        <v>4513</v>
      </c>
      <c r="E26" s="126">
        <f>Page_2!G26</f>
        <v>0</v>
      </c>
      <c r="F26" s="19">
        <f>Page_3!E26</f>
        <v>19332</v>
      </c>
      <c r="G26" s="19">
        <f>Page_3!F26</f>
        <v>9757</v>
      </c>
      <c r="H26" s="19">
        <f>Page_4!F26</f>
        <v>83185</v>
      </c>
      <c r="I26" s="19" t="s">
        <v>102</v>
      </c>
      <c r="J26" s="51"/>
      <c r="K26" s="19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</row>
    <row r="27" spans="1:31" x14ac:dyDescent="0.35">
      <c r="A27" s="18" t="s">
        <v>61</v>
      </c>
      <c r="B27" s="19">
        <f>Page_2!D27</f>
        <v>1094</v>
      </c>
      <c r="C27" s="19">
        <f>Page_2!E27</f>
        <v>24000</v>
      </c>
      <c r="D27" s="19">
        <f>Page_2!F27</f>
        <v>7223</v>
      </c>
      <c r="E27" s="19">
        <f>Page_2!G27</f>
        <v>23039</v>
      </c>
      <c r="F27" s="19">
        <f>Page_3!E27</f>
        <v>17104</v>
      </c>
      <c r="G27" s="19">
        <f>Page_3!F27</f>
        <v>11316</v>
      </c>
      <c r="H27" s="19">
        <f>Page_4!F27</f>
        <v>118507</v>
      </c>
      <c r="I27" s="19" t="s">
        <v>102</v>
      </c>
      <c r="J27" s="51"/>
      <c r="K27" s="19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</row>
    <row r="28" spans="1:31" x14ac:dyDescent="0.35">
      <c r="A28" s="25" t="s">
        <v>62</v>
      </c>
      <c r="B28" s="19">
        <f>Page_2!D28</f>
        <v>1122</v>
      </c>
      <c r="C28" s="19">
        <f>Page_2!E28</f>
        <v>24000</v>
      </c>
      <c r="D28" s="19">
        <f>Page_2!F28</f>
        <v>3735</v>
      </c>
      <c r="E28" s="19">
        <f>Page_2!G28</f>
        <v>-19049</v>
      </c>
      <c r="F28" s="19">
        <f>Page_3!E28</f>
        <v>16447</v>
      </c>
      <c r="G28" s="19">
        <f>Page_3!F28</f>
        <v>11354</v>
      </c>
      <c r="H28" s="19">
        <f>Page_4!F28</f>
        <v>60741</v>
      </c>
      <c r="I28" s="19" t="s">
        <v>102</v>
      </c>
      <c r="J28" s="51"/>
      <c r="K28" s="19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</row>
    <row r="29" spans="1:31" x14ac:dyDescent="0.35">
      <c r="A29" s="25" t="s">
        <v>63</v>
      </c>
      <c r="B29" s="19">
        <f>Page_2!D29</f>
        <v>687</v>
      </c>
      <c r="C29" s="19">
        <f>Page_2!E29</f>
        <v>24000</v>
      </c>
      <c r="D29" s="19">
        <f>Page_2!F29</f>
        <v>4655</v>
      </c>
      <c r="E29" s="19">
        <f>Page_2!G29</f>
        <v>-10288</v>
      </c>
      <c r="F29" s="19">
        <f>Page_3!E29</f>
        <v>16034</v>
      </c>
      <c r="G29" s="19">
        <f>Page_3!F29</f>
        <v>13706</v>
      </c>
      <c r="H29" s="19">
        <f>Page_4!F29</f>
        <v>53620</v>
      </c>
      <c r="I29" s="19" t="s">
        <v>102</v>
      </c>
      <c r="J29" s="51"/>
      <c r="K29" s="19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</row>
    <row r="30" spans="1:31" x14ac:dyDescent="0.35">
      <c r="A30" s="25" t="s">
        <v>64</v>
      </c>
      <c r="B30" s="19">
        <f>Page_2!D30</f>
        <v>825</v>
      </c>
      <c r="C30" s="19">
        <f>Page_2!E30</f>
        <v>24000</v>
      </c>
      <c r="D30" s="19">
        <f>Page_2!F30</f>
        <v>4721</v>
      </c>
      <c r="E30" s="126">
        <f>Page_2!G30</f>
        <v>0</v>
      </c>
      <c r="F30" s="19">
        <f>Page_3!E30</f>
        <v>16773</v>
      </c>
      <c r="G30" s="19">
        <f>Page_3!F30</f>
        <v>14476</v>
      </c>
      <c r="H30" s="19">
        <f>Page_4!F30</f>
        <v>47440</v>
      </c>
      <c r="I30" s="19" t="s">
        <v>102</v>
      </c>
      <c r="J30" s="51"/>
      <c r="K30" s="19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</row>
    <row r="31" spans="1:31" x14ac:dyDescent="0.35">
      <c r="A31" s="25" t="s">
        <v>65</v>
      </c>
      <c r="B31" s="19">
        <f>Page_2!D31</f>
        <v>396</v>
      </c>
      <c r="C31" s="19">
        <f>Page_2!E31</f>
        <v>24000</v>
      </c>
      <c r="D31" s="19">
        <f>Page_2!F31</f>
        <v>3313</v>
      </c>
      <c r="E31" s="126">
        <f>Page_2!G31</f>
        <v>0</v>
      </c>
      <c r="F31" s="19">
        <f>Page_3!E31</f>
        <v>16062</v>
      </c>
      <c r="G31" s="19">
        <f>Page_3!F31</f>
        <v>8487</v>
      </c>
      <c r="H31" s="19">
        <f>Page_4!F31</f>
        <v>30049</v>
      </c>
      <c r="I31" s="19" t="s">
        <v>102</v>
      </c>
      <c r="J31" s="51"/>
      <c r="K31" s="19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</row>
    <row r="32" spans="1:31" x14ac:dyDescent="0.35">
      <c r="A32" s="25" t="s">
        <v>66</v>
      </c>
      <c r="B32" s="19">
        <f>Page_2!D32</f>
        <v>514</v>
      </c>
      <c r="C32" s="19">
        <f>Page_2!E32</f>
        <v>24000</v>
      </c>
      <c r="D32" s="19">
        <f>Page_2!F32</f>
        <v>4170</v>
      </c>
      <c r="E32" s="126">
        <f>Page_2!G32</f>
        <v>0</v>
      </c>
      <c r="F32" s="19">
        <f>Page_3!E32</f>
        <v>14562</v>
      </c>
      <c r="G32" s="19">
        <f>Page_3!F32</f>
        <v>8616</v>
      </c>
      <c r="H32" s="19">
        <f>Page_4!F32</f>
        <v>4938</v>
      </c>
      <c r="I32" s="19" t="s">
        <v>102</v>
      </c>
      <c r="J32" s="51"/>
      <c r="K32" s="19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</row>
    <row r="33" spans="1:31" x14ac:dyDescent="0.35">
      <c r="A33" s="18" t="s">
        <v>67</v>
      </c>
      <c r="B33" s="19">
        <f>Page_2!D33</f>
        <v>830</v>
      </c>
      <c r="C33" s="19">
        <f>Page_2!E33</f>
        <v>24000</v>
      </c>
      <c r="D33" s="19">
        <f>Page_2!F33</f>
        <v>7090</v>
      </c>
      <c r="E33" s="126">
        <f>Page_2!G33</f>
        <v>0</v>
      </c>
      <c r="F33" s="19">
        <f>Page_3!E33</f>
        <v>23124</v>
      </c>
      <c r="G33" s="19">
        <f>Page_3!F33</f>
        <v>9087</v>
      </c>
      <c r="H33" s="19">
        <f>Page_4!F33</f>
        <v>64150</v>
      </c>
      <c r="I33" s="19" t="s">
        <v>102</v>
      </c>
      <c r="J33" s="51"/>
      <c r="K33" s="19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</row>
    <row r="34" spans="1:31" x14ac:dyDescent="0.35">
      <c r="A34" s="18" t="s">
        <v>68</v>
      </c>
      <c r="B34" s="19">
        <f>Page_2!D34</f>
        <v>867</v>
      </c>
      <c r="C34" s="19">
        <f>Page_2!E34</f>
        <v>24000</v>
      </c>
      <c r="D34" s="19">
        <f>Page_2!F34</f>
        <v>1470</v>
      </c>
      <c r="E34" s="126">
        <f>Page_2!G34</f>
        <v>0</v>
      </c>
      <c r="F34" s="19">
        <f>Page_3!E34</f>
        <v>15780</v>
      </c>
      <c r="G34" s="19">
        <f>Page_3!F34</f>
        <v>7699</v>
      </c>
      <c r="H34" s="19">
        <f>Page_4!F34</f>
        <v>30507</v>
      </c>
      <c r="I34" s="19" t="s">
        <v>102</v>
      </c>
      <c r="J34" s="51"/>
      <c r="K34" s="19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</row>
    <row r="35" spans="1:31" x14ac:dyDescent="0.35">
      <c r="A35" s="18" t="s">
        <v>69</v>
      </c>
      <c r="B35" s="19">
        <f>Page_2!D35</f>
        <v>753</v>
      </c>
      <c r="C35" s="19">
        <f>Page_2!E35</f>
        <v>24000</v>
      </c>
      <c r="D35" s="19">
        <f>Page_2!F35</f>
        <v>2414</v>
      </c>
      <c r="E35" s="126">
        <f>Page_2!G35</f>
        <v>0</v>
      </c>
      <c r="F35" s="19">
        <f>Page_3!E35</f>
        <v>12152</v>
      </c>
      <c r="G35" s="19">
        <f>Page_3!F35</f>
        <v>4576</v>
      </c>
      <c r="H35" s="19">
        <f>Page_4!F35</f>
        <v>28313</v>
      </c>
      <c r="I35" s="19" t="s">
        <v>102</v>
      </c>
      <c r="J35" s="51"/>
      <c r="K35" s="19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</row>
    <row r="36" spans="1:31" x14ac:dyDescent="0.35">
      <c r="A36" s="18" t="s">
        <v>70</v>
      </c>
      <c r="B36" s="19">
        <f>Page_2!D36</f>
        <v>694</v>
      </c>
      <c r="C36" s="19">
        <f>Page_2!E36</f>
        <v>24000</v>
      </c>
      <c r="D36" s="19">
        <f>Page_2!F36</f>
        <v>2465</v>
      </c>
      <c r="E36" s="126">
        <f>Page_2!G36</f>
        <v>0</v>
      </c>
      <c r="F36" s="19">
        <f>Page_3!E36</f>
        <v>14535</v>
      </c>
      <c r="G36" s="19">
        <f>Page_3!F36</f>
        <v>4733</v>
      </c>
      <c r="H36" s="19">
        <f>Page_4!F36</f>
        <v>25789</v>
      </c>
      <c r="I36" s="19" t="s">
        <v>102</v>
      </c>
      <c r="J36" s="51"/>
      <c r="K36" s="19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</row>
    <row r="37" spans="1:31" x14ac:dyDescent="0.35">
      <c r="A37" s="18" t="s">
        <v>71</v>
      </c>
      <c r="B37" s="19">
        <f>Page_2!D37</f>
        <v>660</v>
      </c>
      <c r="C37" s="19">
        <f>Page_2!E37</f>
        <v>24000</v>
      </c>
      <c r="D37" s="19">
        <f>Page_2!F37</f>
        <v>2335</v>
      </c>
      <c r="E37" s="126">
        <f>Page_2!G37</f>
        <v>0</v>
      </c>
      <c r="F37" s="19">
        <f>Page_3!E37</f>
        <v>15965</v>
      </c>
      <c r="G37" s="19">
        <f>Page_3!F37</f>
        <v>4874</v>
      </c>
      <c r="H37" s="19">
        <f>Page_4!F37</f>
        <v>40018</v>
      </c>
      <c r="I37" s="19" t="s">
        <v>102</v>
      </c>
      <c r="J37" s="51"/>
      <c r="K37" s="19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</row>
    <row r="38" spans="1:31" x14ac:dyDescent="0.35">
      <c r="A38" s="18" t="s">
        <v>72</v>
      </c>
      <c r="B38" s="19">
        <f>Page_2!D38</f>
        <v>197</v>
      </c>
      <c r="C38" s="19">
        <f>Page_2!E38</f>
        <v>24000</v>
      </c>
      <c r="D38" s="19">
        <f>Page_2!F38</f>
        <v>2570</v>
      </c>
      <c r="E38" s="126">
        <f>Page_2!G38</f>
        <v>0</v>
      </c>
      <c r="F38" s="19">
        <f>Page_3!E38</f>
        <v>19608</v>
      </c>
      <c r="G38" s="19">
        <f>Page_3!F38</f>
        <v>5781</v>
      </c>
      <c r="H38" s="19">
        <f>Page_4!F38</f>
        <v>9418</v>
      </c>
      <c r="I38" s="19" t="s">
        <v>102</v>
      </c>
      <c r="J38" s="51"/>
      <c r="K38" s="19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</row>
    <row r="39" spans="1:31" x14ac:dyDescent="0.35">
      <c r="A39" s="18" t="s">
        <v>73</v>
      </c>
      <c r="B39" s="19">
        <f>Page_2!D39</f>
        <v>286</v>
      </c>
      <c r="C39" s="19">
        <f>Page_2!E39</f>
        <v>24000</v>
      </c>
      <c r="D39" s="19">
        <f>Page_2!F39</f>
        <v>7002</v>
      </c>
      <c r="E39" s="126">
        <f>Page_2!G39</f>
        <v>0</v>
      </c>
      <c r="F39" s="19">
        <f>Page_3!E39</f>
        <v>19530</v>
      </c>
      <c r="G39" s="19">
        <f>Page_3!F39</f>
        <v>12311</v>
      </c>
      <c r="H39" s="19">
        <f>Page_4!F39</f>
        <v>57809</v>
      </c>
      <c r="I39" s="19" t="s">
        <v>102</v>
      </c>
      <c r="J39" s="51"/>
      <c r="K39" s="19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</row>
    <row r="40" spans="1:31" x14ac:dyDescent="0.35">
      <c r="A40" s="18" t="s">
        <v>74</v>
      </c>
      <c r="B40" s="19">
        <f>Page_2!D40</f>
        <v>348</v>
      </c>
      <c r="C40" s="19">
        <f>Page_2!E40</f>
        <v>24000</v>
      </c>
      <c r="D40" s="19">
        <f>Page_2!F40</f>
        <v>991</v>
      </c>
      <c r="E40" s="126">
        <f>Page_2!G40</f>
        <v>0</v>
      </c>
      <c r="F40" s="19">
        <f>Page_3!E40</f>
        <v>5270</v>
      </c>
      <c r="G40" s="19">
        <f>Page_3!F40</f>
        <v>588</v>
      </c>
      <c r="H40" s="19">
        <f>Page_4!F40</f>
        <v>9680</v>
      </c>
      <c r="I40" s="19" t="s">
        <v>102</v>
      </c>
      <c r="J40" s="51"/>
      <c r="K40" s="19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</row>
    <row r="41" spans="1:31" x14ac:dyDescent="0.35">
      <c r="A41" s="18" t="s">
        <v>75</v>
      </c>
      <c r="B41" s="19">
        <f>Page_2!D41</f>
        <v>237</v>
      </c>
      <c r="C41" s="19">
        <f>Page_2!E41</f>
        <v>24000</v>
      </c>
      <c r="D41" s="126">
        <f>Page_2!F41</f>
        <v>0</v>
      </c>
      <c r="E41" s="126">
        <f>Page_2!G41</f>
        <v>0</v>
      </c>
      <c r="F41" s="19">
        <f>Page_3!E41</f>
        <v>501</v>
      </c>
      <c r="G41" s="19">
        <f>Page_3!F41</f>
        <v>941</v>
      </c>
      <c r="H41" s="19">
        <f>Page_4!F41</f>
        <v>71</v>
      </c>
      <c r="I41" s="19" t="s">
        <v>102</v>
      </c>
      <c r="J41" s="51"/>
      <c r="K41" s="19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</row>
    <row r="42" spans="1:31" x14ac:dyDescent="0.35">
      <c r="A42" s="18" t="s">
        <v>76</v>
      </c>
      <c r="B42" s="19">
        <f>Page_2!D42</f>
        <v>170</v>
      </c>
      <c r="C42" s="19">
        <f>Page_2!E42</f>
        <v>24000</v>
      </c>
      <c r="D42" s="19">
        <f>Page_2!F42</f>
        <v>246</v>
      </c>
      <c r="E42" s="126">
        <f>Page_2!G42</f>
        <v>0</v>
      </c>
      <c r="F42" s="19">
        <f>Page_3!E42</f>
        <v>7432</v>
      </c>
      <c r="G42" s="19">
        <f>Page_3!F42</f>
        <v>2507</v>
      </c>
      <c r="H42" s="19">
        <f>Page_4!F42</f>
        <v>-271</v>
      </c>
      <c r="I42" s="19" t="s">
        <v>102</v>
      </c>
      <c r="J42" s="51"/>
      <c r="K42" s="19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</row>
    <row r="43" spans="1:31" x14ac:dyDescent="0.35">
      <c r="A43" s="18" t="s">
        <v>77</v>
      </c>
      <c r="B43" s="19">
        <f>Page_2!D43</f>
        <v>66</v>
      </c>
      <c r="C43" s="19">
        <f>Page_2!E43</f>
        <v>24000</v>
      </c>
      <c r="D43" s="19">
        <f>Page_2!F43</f>
        <v>1296</v>
      </c>
      <c r="E43" s="126">
        <f>Page_2!G43</f>
        <v>0</v>
      </c>
      <c r="F43" s="19">
        <f>Page_3!E43</f>
        <v>7203</v>
      </c>
      <c r="G43" s="19">
        <f>Page_3!F43</f>
        <v>2778</v>
      </c>
      <c r="H43" s="19">
        <f>Page_4!F43</f>
        <v>600</v>
      </c>
      <c r="I43" s="19" t="s">
        <v>102</v>
      </c>
      <c r="J43" s="51"/>
      <c r="K43" s="19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</row>
    <row r="44" spans="1:31" x14ac:dyDescent="0.35">
      <c r="A44" s="18" t="s">
        <v>78</v>
      </c>
      <c r="B44" s="19">
        <f>Page_2!D44</f>
        <v>68</v>
      </c>
      <c r="C44" s="19">
        <f>Page_2!E44</f>
        <v>24000</v>
      </c>
      <c r="D44" s="19">
        <f>Page_2!F44</f>
        <v>1597</v>
      </c>
      <c r="E44" s="19">
        <f>Page_2!G44</f>
        <v>0</v>
      </c>
      <c r="F44" s="19">
        <f>Page_3!E44</f>
        <v>8071</v>
      </c>
      <c r="G44" s="19">
        <f>Page_3!F44</f>
        <v>2934</v>
      </c>
      <c r="H44" s="19">
        <f>Page_4!F44</f>
        <v>40425</v>
      </c>
      <c r="I44" s="19" t="s">
        <v>102</v>
      </c>
      <c r="J44" s="51"/>
      <c r="K44" s="19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</row>
    <row r="45" spans="1:31" x14ac:dyDescent="0.35">
      <c r="A45" s="18" t="s">
        <v>79</v>
      </c>
      <c r="B45" s="19">
        <f>Page_2!D45</f>
        <v>133</v>
      </c>
      <c r="C45" s="19">
        <f>Page_2!E45</f>
        <v>24000</v>
      </c>
      <c r="D45" s="19">
        <f>Page_2!F45</f>
        <v>1519</v>
      </c>
      <c r="E45" s="19">
        <f>Page_2!G45</f>
        <v>0</v>
      </c>
      <c r="F45" s="19">
        <f>Page_3!E45</f>
        <v>5561</v>
      </c>
      <c r="G45" s="19">
        <f>Page_3!F45</f>
        <v>2104</v>
      </c>
      <c r="H45" s="19">
        <f>Page_4!F45</f>
        <v>27333</v>
      </c>
      <c r="I45" s="19" t="s">
        <v>102</v>
      </c>
      <c r="J45" s="51"/>
      <c r="K45" s="19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</row>
    <row r="46" spans="1:31" x14ac:dyDescent="0.35">
      <c r="A46" s="18" t="s">
        <v>80</v>
      </c>
      <c r="B46" s="19">
        <f>Page_2!D46</f>
        <v>290</v>
      </c>
      <c r="C46" s="19">
        <f>Page_2!E46</f>
        <v>24000</v>
      </c>
      <c r="D46" s="19">
        <f>Page_2!F46</f>
        <v>1512</v>
      </c>
      <c r="E46" s="19">
        <f>Page_2!G46</f>
        <v>0</v>
      </c>
      <c r="F46" s="19">
        <f>Page_3!E46</f>
        <v>8036</v>
      </c>
      <c r="G46" s="19">
        <f>Page_3!F46</f>
        <v>8063</v>
      </c>
      <c r="H46" s="19">
        <f>Page_4!F46</f>
        <v>23700</v>
      </c>
      <c r="I46" s="19" t="s">
        <v>102</v>
      </c>
      <c r="J46" s="51"/>
      <c r="K46" s="19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</row>
    <row r="47" spans="1:31" x14ac:dyDescent="0.35">
      <c r="A47" s="18" t="s">
        <v>81</v>
      </c>
      <c r="B47" s="19">
        <f>Page_2!D47</f>
        <v>113</v>
      </c>
      <c r="C47" s="19">
        <f>Page_2!E47</f>
        <v>24000</v>
      </c>
      <c r="D47" s="19">
        <f>Page_2!F47</f>
        <v>701</v>
      </c>
      <c r="E47" s="19">
        <f>Page_2!G47</f>
        <v>0</v>
      </c>
      <c r="F47" s="19">
        <f>Page_3!E47</f>
        <v>1159</v>
      </c>
      <c r="G47" s="19">
        <f>Page_3!F47</f>
        <v>634</v>
      </c>
      <c r="H47" s="19">
        <f>Page_4!F47</f>
        <v>679</v>
      </c>
      <c r="I47" s="19" t="s">
        <v>102</v>
      </c>
      <c r="J47" s="51"/>
      <c r="K47" s="19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</row>
    <row r="48" spans="1:31" x14ac:dyDescent="0.35">
      <c r="A48" s="18" t="s">
        <v>82</v>
      </c>
      <c r="B48" s="19">
        <f>Page_2!D48</f>
        <v>153.85714285714286</v>
      </c>
      <c r="C48" s="19">
        <f>Page_2!E48</f>
        <v>24000</v>
      </c>
      <c r="D48" s="19">
        <f>Page_2!F48</f>
        <v>981.57142857142856</v>
      </c>
      <c r="E48" s="19">
        <f>Page_2!G48</f>
        <v>0</v>
      </c>
      <c r="F48" s="19">
        <f>Page_3!E48</f>
        <v>5423.2857142857138</v>
      </c>
      <c r="G48" s="19">
        <f>Page_3!F48</f>
        <v>2851.5714285714284</v>
      </c>
      <c r="H48" s="19">
        <f>Page_4!F48</f>
        <v>13219.571428571428</v>
      </c>
      <c r="I48" s="19" t="s">
        <v>102</v>
      </c>
      <c r="J48" s="51"/>
      <c r="K48" s="19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</row>
    <row r="49" spans="1:31" x14ac:dyDescent="0.35">
      <c r="A49" s="18" t="s">
        <v>83</v>
      </c>
      <c r="B49" s="19">
        <f>Page_2!D49</f>
        <v>153.85714285714286</v>
      </c>
      <c r="C49" s="19">
        <f>Page_2!E49</f>
        <v>24000</v>
      </c>
      <c r="D49" s="19">
        <f>Page_2!F49</f>
        <v>981.57142857142856</v>
      </c>
      <c r="E49" s="19">
        <f>Page_2!G49</f>
        <v>0</v>
      </c>
      <c r="F49" s="19">
        <f>Page_3!E49</f>
        <v>5423.2857142857138</v>
      </c>
      <c r="G49" s="19">
        <f>Page_3!F49</f>
        <v>2851.5714285714284</v>
      </c>
      <c r="H49" s="19">
        <f>Page_4!F49</f>
        <v>13219.571428571428</v>
      </c>
      <c r="I49" s="19" t="s">
        <v>102</v>
      </c>
      <c r="J49" s="51"/>
      <c r="K49" s="19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</row>
    <row r="50" spans="1:31" x14ac:dyDescent="0.35">
      <c r="A50" s="18" t="s">
        <v>84</v>
      </c>
      <c r="B50" s="19">
        <f>Page_2!D50</f>
        <v>153.85714285714286</v>
      </c>
      <c r="C50" s="19">
        <f>Page_2!E50</f>
        <v>24000</v>
      </c>
      <c r="D50" s="19">
        <f>Page_2!F50</f>
        <v>981.57142857142856</v>
      </c>
      <c r="E50" s="19">
        <f>Page_2!G50</f>
        <v>0</v>
      </c>
      <c r="F50" s="19">
        <f>Page_3!E50</f>
        <v>5423.2857142857138</v>
      </c>
      <c r="G50" s="19">
        <f>Page_3!F50</f>
        <v>2851.5714285714284</v>
      </c>
      <c r="H50" s="19">
        <f>Page_4!F50</f>
        <v>13219.571428571428</v>
      </c>
      <c r="I50" s="19" t="s">
        <v>102</v>
      </c>
      <c r="J50" s="51"/>
      <c r="K50" s="19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</row>
    <row r="51" spans="1:31" x14ac:dyDescent="0.35">
      <c r="A51" s="18" t="s">
        <v>85</v>
      </c>
      <c r="B51" s="19">
        <f>Page_2!D51</f>
        <v>156.71428571428572</v>
      </c>
      <c r="C51" s="19">
        <f>Page_2!E51</f>
        <v>24000</v>
      </c>
      <c r="D51" s="19">
        <f>Page_2!F51</f>
        <v>981.57142857142856</v>
      </c>
      <c r="E51" s="19">
        <f>Page_2!G51</f>
        <v>10000</v>
      </c>
      <c r="F51" s="19">
        <f>Page_3!E51</f>
        <v>5423.2857142857138</v>
      </c>
      <c r="G51" s="19">
        <f>Page_3!F51</f>
        <v>2851.5714285714284</v>
      </c>
      <c r="H51" s="19">
        <f>Page_4!F51</f>
        <v>13219.571428571428</v>
      </c>
      <c r="I51" s="19" t="s">
        <v>102</v>
      </c>
      <c r="J51" s="51"/>
      <c r="K51" s="19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</row>
    <row r="52" spans="1:31" x14ac:dyDescent="0.35">
      <c r="A52" s="18" t="s">
        <v>86</v>
      </c>
      <c r="B52" s="19">
        <f>Page_2!D52</f>
        <v>156.71428571428572</v>
      </c>
      <c r="C52" s="19">
        <f>Page_2!E52</f>
        <v>24000</v>
      </c>
      <c r="D52" s="19">
        <f>Page_2!F52</f>
        <v>981.57142857142856</v>
      </c>
      <c r="E52" s="19">
        <f>Page_2!G52</f>
        <v>10000</v>
      </c>
      <c r="F52" s="19">
        <f>Page_3!E52</f>
        <v>5423.2857142857138</v>
      </c>
      <c r="G52" s="19">
        <f>Page_3!F52</f>
        <v>2851.5714285714284</v>
      </c>
      <c r="H52" s="19">
        <f>Page_4!F52</f>
        <v>13219.571428571428</v>
      </c>
      <c r="I52" s="19" t="s">
        <v>102</v>
      </c>
      <c r="J52" s="51"/>
      <c r="K52" s="19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</row>
    <row r="53" spans="1:31" x14ac:dyDescent="0.35">
      <c r="A53" s="18" t="s">
        <v>87</v>
      </c>
      <c r="B53" s="19">
        <f>Page_2!D53</f>
        <v>156.71428571428572</v>
      </c>
      <c r="C53" s="19">
        <f>Page_2!E53</f>
        <v>24000</v>
      </c>
      <c r="D53" s="19">
        <f>Page_2!F53</f>
        <v>981.57142857142856</v>
      </c>
      <c r="E53" s="19">
        <f>Page_2!G53</f>
        <v>10000</v>
      </c>
      <c r="F53" s="19">
        <f>Page_3!E53</f>
        <v>5423.2857142857138</v>
      </c>
      <c r="G53" s="19">
        <f>Page_3!F53</f>
        <v>2851.5714285714284</v>
      </c>
      <c r="H53" s="19">
        <f>Page_4!F53</f>
        <v>13219.571428571428</v>
      </c>
      <c r="I53" s="19" t="s">
        <v>102</v>
      </c>
      <c r="J53" s="51"/>
      <c r="K53" s="19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</row>
    <row r="54" spans="1:31" x14ac:dyDescent="0.35">
      <c r="A54" s="18" t="s">
        <v>88</v>
      </c>
      <c r="B54" s="19">
        <f>Page_2!D54</f>
        <v>156.71428571428572</v>
      </c>
      <c r="C54" s="19">
        <f>Page_2!E54</f>
        <v>24000</v>
      </c>
      <c r="D54" s="19">
        <f>Page_2!F54</f>
        <v>981.57142857142856</v>
      </c>
      <c r="E54" s="19">
        <f>Page_2!G54</f>
        <v>10000</v>
      </c>
      <c r="F54" s="19">
        <f>Page_3!E54</f>
        <v>5423.2857142857138</v>
      </c>
      <c r="G54" s="19">
        <f>Page_3!F54</f>
        <v>2851.5714285714284</v>
      </c>
      <c r="H54" s="19">
        <f>Page_4!F54</f>
        <v>13219.571428571428</v>
      </c>
      <c r="I54" s="19" t="s">
        <v>102</v>
      </c>
      <c r="J54" s="51"/>
      <c r="K54" s="19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</row>
    <row r="55" spans="1:31" x14ac:dyDescent="0.35">
      <c r="A55" s="18" t="s">
        <v>89</v>
      </c>
      <c r="B55" s="19">
        <f>Page_2!D55</f>
        <v>156.71428571428572</v>
      </c>
      <c r="C55" s="19">
        <f>Page_2!E55</f>
        <v>24000</v>
      </c>
      <c r="D55" s="19">
        <f>Page_2!F55</f>
        <v>981.57142857142856</v>
      </c>
      <c r="E55" s="19">
        <f>Page_2!G55</f>
        <v>10000</v>
      </c>
      <c r="F55" s="19">
        <f>Page_3!E55</f>
        <v>5423.2857142857138</v>
      </c>
      <c r="G55" s="19">
        <f>Page_3!F55</f>
        <v>2851.5714285714284</v>
      </c>
      <c r="H55" s="19">
        <f>Page_4!F55</f>
        <v>13219.571428571428</v>
      </c>
      <c r="I55" s="19" t="s">
        <v>102</v>
      </c>
      <c r="J55" s="51"/>
      <c r="K55" s="19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</row>
    <row r="56" spans="1:31" ht="16" thickBot="1" x14ac:dyDescent="0.4">
      <c r="A56" s="18" t="s">
        <v>90</v>
      </c>
      <c r="B56" s="19">
        <f>Page_2!D56</f>
        <v>156.71428571428572</v>
      </c>
      <c r="C56" s="19">
        <f>Page_2!E56</f>
        <v>24000</v>
      </c>
      <c r="D56" s="19">
        <f>Page_2!F56</f>
        <v>981.57142857142856</v>
      </c>
      <c r="E56" s="19">
        <f>Page_2!G56</f>
        <v>10000</v>
      </c>
      <c r="F56" s="19">
        <f>Page_3!E56</f>
        <v>5423.2857142857138</v>
      </c>
      <c r="G56" s="19">
        <f>Page_3!F56</f>
        <v>2851.5714285714284</v>
      </c>
      <c r="H56" s="19">
        <f>Page_4!F56</f>
        <v>13219.571428571428</v>
      </c>
      <c r="I56" s="19" t="s">
        <v>102</v>
      </c>
      <c r="J56" s="51"/>
      <c r="K56" s="19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</row>
    <row r="57" spans="1:31" x14ac:dyDescent="0.35">
      <c r="A57" s="18" t="s">
        <v>91</v>
      </c>
      <c r="B57" s="27">
        <f t="shared" ref="B57:H57" si="0">SUM(B7:B56)</f>
        <v>33437.857142857123</v>
      </c>
      <c r="C57" s="27">
        <f t="shared" si="0"/>
        <v>1200000</v>
      </c>
      <c r="D57" s="27">
        <f t="shared" si="0"/>
        <v>232131.14285714278</v>
      </c>
      <c r="E57" s="27">
        <f t="shared" si="0"/>
        <v>287358</v>
      </c>
      <c r="F57" s="27">
        <f t="shared" si="0"/>
        <v>852927.57142857113</v>
      </c>
      <c r="G57" s="27">
        <f t="shared" si="0"/>
        <v>399088.14285714278</v>
      </c>
      <c r="H57" s="27">
        <f t="shared" si="0"/>
        <v>2419527.1428571423</v>
      </c>
      <c r="I57" s="19"/>
      <c r="J57" s="51"/>
      <c r="K57" s="19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</row>
    <row r="58" spans="1:31" x14ac:dyDescent="0.35">
      <c r="A58" s="18" t="str">
        <f>Page_20!A58</f>
        <v>7 - Year Hist Avg (A-12)</v>
      </c>
      <c r="B58" s="19">
        <f>Page_2!D58</f>
        <v>156.71428571428572</v>
      </c>
      <c r="C58" s="19">
        <f>Page_2!E58</f>
        <v>24000</v>
      </c>
      <c r="D58" s="19">
        <f>Page_2!F58</f>
        <v>981.57142857142856</v>
      </c>
      <c r="E58" s="19">
        <f>Page_2!G58</f>
        <v>10000</v>
      </c>
      <c r="F58" s="19">
        <f>Page_3!E58</f>
        <v>5423.2857142857138</v>
      </c>
      <c r="G58" s="19">
        <f>Page_3!F58</f>
        <v>2851.5714285714284</v>
      </c>
      <c r="H58" s="19">
        <f>Page_4!F58</f>
        <v>13219.571428571428</v>
      </c>
      <c r="I58" s="19"/>
      <c r="J58" s="51"/>
      <c r="K58" s="19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</row>
    <row r="59" spans="1:31" x14ac:dyDescent="0.35">
      <c r="A59" s="65" t="str">
        <f>Page_20!A59</f>
        <v>Projected Del. (A-2ba)</v>
      </c>
      <c r="B59" s="19">
        <f>Page_2!D59</f>
        <v>1248</v>
      </c>
      <c r="C59" s="19">
        <f>Page_2!E59</f>
        <v>192000</v>
      </c>
      <c r="D59" s="19">
        <f>Page_2!F59</f>
        <v>7852.5714285714284</v>
      </c>
      <c r="E59" s="19">
        <f>Page_2!G59</f>
        <v>60000</v>
      </c>
      <c r="F59" s="19">
        <f>Page_3!E59</f>
        <v>43386.285714285703</v>
      </c>
      <c r="G59" s="19">
        <f>Page_3!F59</f>
        <v>22812.571428571424</v>
      </c>
      <c r="H59" s="19">
        <f>Page_4!F59</f>
        <v>105756.57142857141</v>
      </c>
      <c r="I59" s="51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</row>
    <row r="60" spans="1:31" x14ac:dyDescent="0.35">
      <c r="B60" s="51"/>
      <c r="C60" s="51"/>
      <c r="D60" s="51"/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</row>
    <row r="61" spans="1:31" x14ac:dyDescent="0.35"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</row>
    <row r="62" spans="1:31" x14ac:dyDescent="0.35"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</row>
    <row r="63" spans="1:31" x14ac:dyDescent="0.35"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</row>
    <row r="64" spans="1:31" x14ac:dyDescent="0.35"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</row>
    <row r="65" spans="2:31" x14ac:dyDescent="0.35"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</row>
    <row r="66" spans="2:31" x14ac:dyDescent="0.35"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</row>
    <row r="67" spans="2:31" x14ac:dyDescent="0.35"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</row>
    <row r="68" spans="2:31" x14ac:dyDescent="0.35"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</row>
    <row r="69" spans="2:31" x14ac:dyDescent="0.35"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</row>
    <row r="70" spans="2:31" x14ac:dyDescent="0.35"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</row>
    <row r="71" spans="2:31" x14ac:dyDescent="0.35"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</row>
    <row r="72" spans="2:31" x14ac:dyDescent="0.35"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</row>
    <row r="73" spans="2:31" x14ac:dyDescent="0.35"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</row>
    <row r="74" spans="2:31" x14ac:dyDescent="0.35">
      <c r="B74" s="51"/>
      <c r="C74" s="51"/>
      <c r="D74" s="51"/>
      <c r="E74" s="51"/>
      <c r="F74" s="51"/>
      <c r="G74" s="51"/>
      <c r="H74" s="51"/>
      <c r="I74" s="51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</row>
    <row r="75" spans="2:31" x14ac:dyDescent="0.35">
      <c r="B75" s="51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</row>
    <row r="76" spans="2:31" x14ac:dyDescent="0.35"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</row>
    <row r="77" spans="2:31" x14ac:dyDescent="0.35"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</row>
    <row r="78" spans="2:31" x14ac:dyDescent="0.35"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</row>
    <row r="79" spans="2:31" x14ac:dyDescent="0.35"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</row>
    <row r="80" spans="2:31" x14ac:dyDescent="0.35"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</row>
    <row r="81" spans="2:31" x14ac:dyDescent="0.35"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</row>
    <row r="82" spans="2:31" x14ac:dyDescent="0.35"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</row>
    <row r="83" spans="2:31" x14ac:dyDescent="0.35"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</row>
    <row r="84" spans="2:31" x14ac:dyDescent="0.35">
      <c r="B84" s="51"/>
      <c r="C84" s="51"/>
      <c r="D84" s="51"/>
      <c r="E84" s="51"/>
      <c r="F84" s="51"/>
      <c r="G84" s="51"/>
      <c r="H84" s="51"/>
      <c r="I84" s="51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</row>
    <row r="85" spans="2:31" x14ac:dyDescent="0.35">
      <c r="B85" s="51"/>
      <c r="C85" s="51"/>
      <c r="D85" s="51"/>
      <c r="E85" s="51"/>
      <c r="F85" s="51"/>
      <c r="G85" s="51"/>
      <c r="H85" s="51"/>
      <c r="I85" s="51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</row>
    <row r="86" spans="2:31" x14ac:dyDescent="0.35">
      <c r="B86" s="51"/>
      <c r="C86" s="51"/>
      <c r="D86" s="51"/>
      <c r="E86" s="51"/>
      <c r="F86" s="51"/>
      <c r="G86" s="51"/>
      <c r="H86" s="51"/>
      <c r="I86" s="51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</row>
    <row r="87" spans="2:31" x14ac:dyDescent="0.35">
      <c r="B87" s="51"/>
      <c r="C87" s="51"/>
      <c r="D87" s="51"/>
      <c r="E87" s="51"/>
      <c r="F87" s="51"/>
      <c r="G87" s="51"/>
      <c r="H87" s="51"/>
      <c r="I87" s="51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</row>
    <row r="88" spans="2:31" x14ac:dyDescent="0.35">
      <c r="B88" s="51"/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</row>
    <row r="89" spans="2:31" x14ac:dyDescent="0.35">
      <c r="B89" s="51"/>
      <c r="C89" s="51"/>
      <c r="D89" s="51"/>
      <c r="E89" s="51"/>
      <c r="F89" s="51"/>
      <c r="G89" s="51"/>
      <c r="H89" s="51"/>
      <c r="I89" s="51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</row>
    <row r="90" spans="2:31" x14ac:dyDescent="0.35">
      <c r="B90" s="51"/>
      <c r="C90" s="51"/>
      <c r="D90" s="51"/>
      <c r="E90" s="51"/>
      <c r="F90" s="51"/>
      <c r="G90" s="51"/>
      <c r="H90" s="51"/>
      <c r="I90" s="51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</row>
    <row r="91" spans="2:31" x14ac:dyDescent="0.35"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</row>
    <row r="92" spans="2:31" x14ac:dyDescent="0.35">
      <c r="B92" s="51"/>
      <c r="C92" s="51"/>
      <c r="D92" s="51"/>
      <c r="E92" s="51"/>
      <c r="F92" s="51"/>
      <c r="G92" s="51"/>
      <c r="H92" s="51"/>
      <c r="I92" s="51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</row>
    <row r="93" spans="2:31" x14ac:dyDescent="0.35"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</row>
    <row r="94" spans="2:31" x14ac:dyDescent="0.35">
      <c r="B94" s="51"/>
      <c r="C94" s="51"/>
      <c r="D94" s="51"/>
      <c r="E94" s="51"/>
      <c r="F94" s="51"/>
      <c r="G94" s="51"/>
      <c r="H94" s="51"/>
      <c r="I94" s="51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</row>
    <row r="95" spans="2:31" x14ac:dyDescent="0.35">
      <c r="B95" s="51"/>
      <c r="C95" s="51"/>
      <c r="D95" s="51"/>
      <c r="E95" s="51"/>
      <c r="F95" s="51"/>
      <c r="G95" s="51"/>
      <c r="H95" s="51"/>
      <c r="I95" s="51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</row>
    <row r="96" spans="2:31" x14ac:dyDescent="0.35"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</row>
    <row r="97" spans="2:31" x14ac:dyDescent="0.35">
      <c r="B97" s="51"/>
      <c r="C97" s="51"/>
      <c r="D97" s="51"/>
      <c r="E97" s="51"/>
      <c r="F97" s="51"/>
      <c r="G97" s="51"/>
      <c r="H97" s="51"/>
      <c r="I97" s="51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</row>
    <row r="98" spans="2:31" x14ac:dyDescent="0.35">
      <c r="B98" s="51"/>
      <c r="C98" s="51"/>
      <c r="D98" s="51"/>
      <c r="E98" s="51"/>
      <c r="F98" s="51"/>
      <c r="G98" s="51"/>
      <c r="H98" s="51"/>
      <c r="I98" s="51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</row>
    <row r="99" spans="2:31" x14ac:dyDescent="0.35">
      <c r="B99" s="51"/>
      <c r="C99" s="51"/>
      <c r="D99" s="51"/>
      <c r="E99" s="51"/>
      <c r="F99" s="51"/>
      <c r="G99" s="51"/>
      <c r="H99" s="51"/>
      <c r="I99" s="51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</row>
    <row r="100" spans="2:31" x14ac:dyDescent="0.35">
      <c r="B100" s="51"/>
      <c r="C100" s="51"/>
      <c r="D100" s="51"/>
      <c r="E100" s="51"/>
      <c r="F100" s="51"/>
      <c r="G100" s="51"/>
      <c r="H100" s="51"/>
      <c r="I100" s="51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</row>
    <row r="101" spans="2:31" x14ac:dyDescent="0.35">
      <c r="B101" s="51"/>
      <c r="C101" s="51"/>
      <c r="D101" s="51"/>
      <c r="E101" s="51"/>
      <c r="F101" s="51"/>
      <c r="G101" s="51"/>
      <c r="H101" s="51"/>
      <c r="I101" s="51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</row>
    <row r="102" spans="2:31" x14ac:dyDescent="0.35">
      <c r="B102" s="51"/>
      <c r="C102" s="51"/>
      <c r="D102" s="51"/>
      <c r="E102" s="51"/>
      <c r="F102" s="51"/>
      <c r="G102" s="51"/>
      <c r="H102" s="51"/>
      <c r="I102" s="51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</row>
    <row r="103" spans="2:31" x14ac:dyDescent="0.35">
      <c r="B103" s="51"/>
      <c r="C103" s="51"/>
      <c r="D103" s="51"/>
      <c r="E103" s="51"/>
      <c r="F103" s="51"/>
      <c r="G103" s="51"/>
      <c r="H103" s="51"/>
      <c r="I103" s="51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</row>
    <row r="104" spans="2:31" x14ac:dyDescent="0.35"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</row>
    <row r="105" spans="2:31" x14ac:dyDescent="0.35">
      <c r="B105" s="51"/>
      <c r="C105" s="51"/>
      <c r="D105" s="51"/>
      <c r="E105" s="51"/>
      <c r="F105" s="51"/>
      <c r="G105" s="51"/>
      <c r="H105" s="51"/>
      <c r="I105" s="51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</row>
    <row r="106" spans="2:31" x14ac:dyDescent="0.35">
      <c r="B106" s="51"/>
      <c r="C106" s="51"/>
      <c r="D106" s="51"/>
      <c r="E106" s="51"/>
      <c r="F106" s="51"/>
      <c r="G106" s="51"/>
      <c r="H106" s="51"/>
      <c r="I106" s="51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</row>
    <row r="107" spans="2:31" x14ac:dyDescent="0.35">
      <c r="B107" s="51"/>
      <c r="C107" s="51"/>
      <c r="D107" s="51"/>
      <c r="E107" s="51"/>
      <c r="F107" s="51"/>
      <c r="G107" s="51"/>
      <c r="H107" s="51"/>
      <c r="I107" s="51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</row>
    <row r="108" spans="2:31" x14ac:dyDescent="0.35">
      <c r="B108" s="51"/>
      <c r="C108" s="51"/>
      <c r="D108" s="51"/>
      <c r="E108" s="51"/>
      <c r="F108" s="51"/>
      <c r="G108" s="51"/>
      <c r="H108" s="51"/>
      <c r="I108" s="51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</row>
    <row r="109" spans="2:31" x14ac:dyDescent="0.35">
      <c r="B109" s="51"/>
      <c r="C109" s="51"/>
      <c r="D109" s="51"/>
      <c r="E109" s="51"/>
      <c r="F109" s="51"/>
      <c r="G109" s="51"/>
      <c r="H109" s="51"/>
      <c r="I109" s="51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51"/>
    </row>
    <row r="110" spans="2:31" x14ac:dyDescent="0.35">
      <c r="B110" s="51"/>
      <c r="C110" s="51"/>
      <c r="D110" s="51"/>
      <c r="E110" s="51"/>
      <c r="F110" s="51"/>
      <c r="G110" s="51"/>
      <c r="H110" s="51"/>
      <c r="I110" s="51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51"/>
    </row>
    <row r="111" spans="2:31" x14ac:dyDescent="0.35">
      <c r="B111" s="51"/>
      <c r="C111" s="51"/>
      <c r="D111" s="51"/>
      <c r="E111" s="51"/>
      <c r="F111" s="51"/>
      <c r="G111" s="51"/>
      <c r="H111" s="51"/>
      <c r="I111" s="51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51"/>
    </row>
    <row r="112" spans="2:31" x14ac:dyDescent="0.35">
      <c r="B112" s="51"/>
      <c r="C112" s="51"/>
      <c r="D112" s="51"/>
      <c r="E112" s="51"/>
      <c r="F112" s="51"/>
      <c r="G112" s="51"/>
      <c r="H112" s="51"/>
      <c r="I112" s="51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51"/>
    </row>
    <row r="113" spans="2:31" x14ac:dyDescent="0.35">
      <c r="B113" s="51"/>
      <c r="C113" s="51"/>
      <c r="D113" s="51"/>
      <c r="E113" s="51"/>
      <c r="F113" s="51"/>
      <c r="G113" s="51"/>
      <c r="H113" s="51"/>
      <c r="I113" s="51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51"/>
    </row>
    <row r="114" spans="2:31" x14ac:dyDescent="0.35">
      <c r="B114" s="51"/>
      <c r="C114" s="51"/>
      <c r="D114" s="51"/>
      <c r="E114" s="51"/>
      <c r="F114" s="51"/>
      <c r="G114" s="51"/>
      <c r="H114" s="51"/>
      <c r="I114" s="51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51"/>
    </row>
    <row r="115" spans="2:31" x14ac:dyDescent="0.35">
      <c r="B115" s="51"/>
      <c r="C115" s="51"/>
      <c r="D115" s="51"/>
      <c r="E115" s="51"/>
      <c r="F115" s="51"/>
      <c r="G115" s="51"/>
      <c r="H115" s="51"/>
      <c r="I115" s="51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51"/>
    </row>
    <row r="116" spans="2:31" x14ac:dyDescent="0.35">
      <c r="B116" s="51"/>
      <c r="C116" s="51"/>
      <c r="D116" s="51"/>
      <c r="E116" s="51"/>
      <c r="F116" s="51"/>
      <c r="G116" s="51"/>
      <c r="H116" s="51"/>
      <c r="I116" s="51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51"/>
    </row>
    <row r="117" spans="2:31" x14ac:dyDescent="0.35">
      <c r="B117" s="51"/>
      <c r="C117" s="51"/>
      <c r="D117" s="51"/>
      <c r="E117" s="51"/>
      <c r="F117" s="51"/>
      <c r="G117" s="51"/>
      <c r="H117" s="51"/>
      <c r="I117" s="51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51"/>
    </row>
    <row r="118" spans="2:31" x14ac:dyDescent="0.35">
      <c r="B118" s="51"/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51"/>
    </row>
    <row r="119" spans="2:31" x14ac:dyDescent="0.35">
      <c r="B119" s="51"/>
      <c r="C119" s="51"/>
      <c r="D119" s="51"/>
      <c r="E119" s="51"/>
      <c r="F119" s="51"/>
      <c r="G119" s="51"/>
      <c r="H119" s="51"/>
      <c r="I119" s="51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51"/>
    </row>
    <row r="120" spans="2:31" x14ac:dyDescent="0.35">
      <c r="B120" s="51"/>
      <c r="C120" s="51"/>
      <c r="D120" s="51"/>
      <c r="E120" s="51"/>
      <c r="F120" s="51"/>
      <c r="G120" s="51"/>
      <c r="H120" s="51"/>
      <c r="I120" s="51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51"/>
    </row>
    <row r="121" spans="2:31" x14ac:dyDescent="0.35">
      <c r="B121" s="51"/>
      <c r="C121" s="51"/>
      <c r="D121" s="51"/>
      <c r="E121" s="51"/>
      <c r="F121" s="51"/>
      <c r="G121" s="51"/>
      <c r="H121" s="51"/>
      <c r="I121" s="51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51"/>
    </row>
    <row r="122" spans="2:31" x14ac:dyDescent="0.35">
      <c r="B122" s="51"/>
      <c r="C122" s="51"/>
      <c r="D122" s="51"/>
      <c r="E122" s="51"/>
      <c r="F122" s="51"/>
      <c r="G122" s="51"/>
      <c r="H122" s="51"/>
      <c r="I122" s="51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51"/>
    </row>
    <row r="123" spans="2:31" x14ac:dyDescent="0.35">
      <c r="B123" s="51"/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51"/>
    </row>
    <row r="124" spans="2:31" x14ac:dyDescent="0.35">
      <c r="B124" s="51"/>
      <c r="C124" s="51"/>
      <c r="D124" s="51"/>
      <c r="E124" s="51"/>
      <c r="F124" s="51"/>
      <c r="G124" s="51"/>
      <c r="H124" s="51"/>
      <c r="I124" s="51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51"/>
    </row>
    <row r="125" spans="2:31" x14ac:dyDescent="0.35">
      <c r="B125" s="51"/>
      <c r="C125" s="51"/>
      <c r="D125" s="51"/>
      <c r="E125" s="51"/>
      <c r="F125" s="51"/>
      <c r="G125" s="51"/>
      <c r="H125" s="51"/>
      <c r="I125" s="51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51"/>
    </row>
    <row r="126" spans="2:31" x14ac:dyDescent="0.35">
      <c r="B126" s="51"/>
      <c r="C126" s="51"/>
      <c r="D126" s="51"/>
      <c r="E126" s="51"/>
      <c r="F126" s="51"/>
      <c r="G126" s="51"/>
      <c r="H126" s="51"/>
      <c r="I126" s="51"/>
      <c r="J126" s="51"/>
      <c r="K126" s="51"/>
      <c r="L126" s="51"/>
      <c r="M126" s="51"/>
      <c r="N126" s="51"/>
      <c r="O126" s="51"/>
      <c r="P126" s="51"/>
      <c r="Q126" s="51"/>
      <c r="R126" s="51"/>
      <c r="S126" s="51"/>
      <c r="T126" s="51"/>
      <c r="U126" s="51"/>
      <c r="V126" s="51"/>
      <c r="W126" s="51"/>
      <c r="X126" s="51"/>
      <c r="Y126" s="51"/>
      <c r="Z126" s="51"/>
      <c r="AA126" s="51"/>
      <c r="AB126" s="51"/>
      <c r="AC126" s="51"/>
      <c r="AD126" s="51"/>
      <c r="AE126" s="51"/>
    </row>
    <row r="127" spans="2:31" x14ac:dyDescent="0.35">
      <c r="B127" s="51"/>
      <c r="C127" s="51"/>
      <c r="D127" s="51"/>
      <c r="E127" s="51"/>
      <c r="F127" s="51"/>
      <c r="G127" s="51"/>
      <c r="H127" s="51"/>
      <c r="I127" s="51"/>
      <c r="J127" s="51"/>
      <c r="K127" s="51"/>
      <c r="L127" s="51"/>
      <c r="M127" s="51"/>
      <c r="N127" s="51"/>
      <c r="O127" s="51"/>
      <c r="P127" s="51"/>
      <c r="Q127" s="51"/>
      <c r="R127" s="51"/>
      <c r="S127" s="51"/>
      <c r="T127" s="51"/>
      <c r="U127" s="51"/>
      <c r="V127" s="51"/>
      <c r="W127" s="51"/>
      <c r="X127" s="51"/>
      <c r="Y127" s="51"/>
      <c r="Z127" s="51"/>
      <c r="AA127" s="51"/>
      <c r="AB127" s="51"/>
      <c r="AC127" s="51"/>
      <c r="AD127" s="51"/>
      <c r="AE127" s="51"/>
    </row>
    <row r="128" spans="2:31" x14ac:dyDescent="0.35"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</row>
    <row r="129" spans="2:31" x14ac:dyDescent="0.35">
      <c r="B129" s="51"/>
      <c r="C129" s="51"/>
      <c r="D129" s="51"/>
      <c r="E129" s="51"/>
      <c r="F129" s="51"/>
      <c r="G129" s="51"/>
      <c r="H129" s="51"/>
      <c r="I129" s="51"/>
      <c r="J129" s="51"/>
      <c r="K129" s="51"/>
      <c r="L129" s="51"/>
      <c r="M129" s="51"/>
      <c r="N129" s="51"/>
      <c r="O129" s="51"/>
      <c r="P129" s="51"/>
      <c r="Q129" s="51"/>
      <c r="R129" s="51"/>
      <c r="S129" s="51"/>
      <c r="T129" s="51"/>
      <c r="U129" s="51"/>
      <c r="V129" s="51"/>
      <c r="W129" s="51"/>
      <c r="X129" s="51"/>
      <c r="Y129" s="51"/>
      <c r="Z129" s="51"/>
      <c r="AA129" s="51"/>
      <c r="AB129" s="51"/>
      <c r="AC129" s="51"/>
      <c r="AD129" s="51"/>
      <c r="AE129" s="51"/>
    </row>
    <row r="130" spans="2:31" x14ac:dyDescent="0.35">
      <c r="B130" s="51"/>
      <c r="C130" s="51"/>
      <c r="D130" s="51"/>
      <c r="E130" s="51"/>
      <c r="F130" s="51"/>
      <c r="G130" s="51"/>
      <c r="H130" s="51"/>
      <c r="I130" s="51"/>
      <c r="J130" s="51"/>
      <c r="K130" s="51"/>
      <c r="L130" s="51"/>
      <c r="M130" s="51"/>
      <c r="N130" s="51"/>
      <c r="O130" s="51"/>
      <c r="P130" s="51"/>
      <c r="Q130" s="51"/>
      <c r="R130" s="51"/>
      <c r="S130" s="51"/>
      <c r="T130" s="51"/>
      <c r="U130" s="51"/>
      <c r="V130" s="51"/>
      <c r="W130" s="51"/>
      <c r="X130" s="51"/>
      <c r="Y130" s="51"/>
      <c r="Z130" s="51"/>
      <c r="AA130" s="51"/>
      <c r="AB130" s="51"/>
      <c r="AC130" s="51"/>
      <c r="AD130" s="51"/>
      <c r="AE130" s="51"/>
    </row>
    <row r="131" spans="2:31" x14ac:dyDescent="0.35">
      <c r="B131" s="51"/>
      <c r="C131" s="51"/>
      <c r="D131" s="51"/>
      <c r="E131" s="51"/>
      <c r="F131" s="51"/>
      <c r="G131" s="51"/>
      <c r="H131" s="51"/>
      <c r="I131" s="51"/>
      <c r="J131" s="51"/>
      <c r="K131" s="51"/>
      <c r="L131" s="51"/>
      <c r="M131" s="51"/>
      <c r="N131" s="51"/>
      <c r="O131" s="51"/>
      <c r="P131" s="51"/>
      <c r="Q131" s="51"/>
      <c r="R131" s="51"/>
      <c r="S131" s="51"/>
      <c r="T131" s="51"/>
      <c r="U131" s="51"/>
      <c r="V131" s="51"/>
      <c r="W131" s="51"/>
      <c r="X131" s="51"/>
      <c r="Y131" s="51"/>
      <c r="Z131" s="51"/>
      <c r="AA131" s="51"/>
      <c r="AB131" s="51"/>
      <c r="AC131" s="51"/>
      <c r="AD131" s="51"/>
      <c r="AE131" s="51"/>
    </row>
    <row r="132" spans="2:31" x14ac:dyDescent="0.35"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</row>
    <row r="133" spans="2:31" x14ac:dyDescent="0.35">
      <c r="B133" s="51"/>
      <c r="C133" s="51"/>
      <c r="D133" s="51"/>
      <c r="E133" s="51"/>
      <c r="F133" s="51"/>
      <c r="G133" s="51"/>
      <c r="H133" s="51"/>
      <c r="I133" s="51"/>
      <c r="J133" s="51"/>
      <c r="K133" s="51"/>
      <c r="L133" s="51"/>
      <c r="M133" s="51"/>
      <c r="N133" s="51"/>
      <c r="O133" s="51"/>
      <c r="P133" s="51"/>
      <c r="Q133" s="51"/>
      <c r="R133" s="51"/>
      <c r="S133" s="51"/>
      <c r="T133" s="51"/>
      <c r="U133" s="51"/>
      <c r="V133" s="51"/>
      <c r="W133" s="51"/>
      <c r="X133" s="51"/>
      <c r="Y133" s="51"/>
      <c r="Z133" s="51"/>
      <c r="AA133" s="51"/>
      <c r="AB133" s="51"/>
      <c r="AC133" s="51"/>
      <c r="AD133" s="51"/>
      <c r="AE133" s="51"/>
    </row>
    <row r="134" spans="2:31" x14ac:dyDescent="0.35">
      <c r="B134" s="51"/>
      <c r="C134" s="51"/>
      <c r="D134" s="51"/>
      <c r="E134" s="51"/>
      <c r="F134" s="51"/>
      <c r="G134" s="51"/>
      <c r="H134" s="51"/>
      <c r="I134" s="51"/>
      <c r="J134" s="51"/>
      <c r="K134" s="51"/>
      <c r="L134" s="51"/>
      <c r="M134" s="51"/>
      <c r="N134" s="51"/>
      <c r="O134" s="51"/>
      <c r="P134" s="51"/>
      <c r="Q134" s="51"/>
      <c r="R134" s="51"/>
      <c r="S134" s="51"/>
      <c r="T134" s="51"/>
      <c r="U134" s="51"/>
      <c r="V134" s="51"/>
      <c r="W134" s="51"/>
      <c r="X134" s="51"/>
      <c r="Y134" s="51"/>
      <c r="Z134" s="51"/>
      <c r="AA134" s="51"/>
      <c r="AB134" s="51"/>
      <c r="AC134" s="51"/>
      <c r="AD134" s="51"/>
      <c r="AE134" s="51"/>
    </row>
    <row r="135" spans="2:31" x14ac:dyDescent="0.35"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</row>
    <row r="136" spans="2:31" x14ac:dyDescent="0.35">
      <c r="B136" s="51"/>
      <c r="C136" s="51"/>
      <c r="D136" s="51"/>
      <c r="E136" s="51"/>
      <c r="F136" s="51"/>
      <c r="G136" s="51"/>
      <c r="H136" s="51"/>
      <c r="I136" s="51"/>
      <c r="J136" s="51"/>
      <c r="K136" s="51"/>
      <c r="L136" s="51"/>
      <c r="M136" s="51"/>
      <c r="N136" s="51"/>
      <c r="O136" s="51"/>
      <c r="P136" s="51"/>
      <c r="Q136" s="51"/>
      <c r="R136" s="51"/>
      <c r="S136" s="51"/>
      <c r="T136" s="51"/>
      <c r="U136" s="51"/>
      <c r="V136" s="51"/>
      <c r="W136" s="51"/>
      <c r="X136" s="51"/>
      <c r="Y136" s="51"/>
      <c r="Z136" s="51"/>
      <c r="AA136" s="51"/>
      <c r="AB136" s="51"/>
      <c r="AC136" s="51"/>
      <c r="AD136" s="51"/>
      <c r="AE136" s="51"/>
    </row>
    <row r="137" spans="2:31" x14ac:dyDescent="0.35">
      <c r="B137" s="51"/>
      <c r="C137" s="51"/>
      <c r="D137" s="51"/>
      <c r="E137" s="51"/>
      <c r="F137" s="51"/>
      <c r="G137" s="51"/>
      <c r="H137" s="51"/>
      <c r="I137" s="51"/>
      <c r="J137" s="51"/>
      <c r="K137" s="51"/>
      <c r="L137" s="51"/>
      <c r="M137" s="51"/>
      <c r="N137" s="51"/>
      <c r="O137" s="51"/>
      <c r="P137" s="51"/>
      <c r="Q137" s="51"/>
      <c r="R137" s="51"/>
      <c r="S137" s="51"/>
      <c r="T137" s="51"/>
      <c r="U137" s="51"/>
      <c r="V137" s="51"/>
      <c r="W137" s="51"/>
      <c r="X137" s="51"/>
      <c r="Y137" s="51"/>
      <c r="Z137" s="51"/>
      <c r="AA137" s="51"/>
      <c r="AB137" s="51"/>
      <c r="AC137" s="51"/>
      <c r="AD137" s="51"/>
      <c r="AE137" s="51"/>
    </row>
    <row r="138" spans="2:31" x14ac:dyDescent="0.35">
      <c r="B138" s="51"/>
      <c r="C138" s="51"/>
      <c r="D138" s="51"/>
      <c r="E138" s="51"/>
      <c r="F138" s="51"/>
      <c r="G138" s="51"/>
      <c r="H138" s="51"/>
      <c r="I138" s="51"/>
      <c r="J138" s="51"/>
      <c r="K138" s="51"/>
      <c r="L138" s="51"/>
      <c r="M138" s="51"/>
      <c r="N138" s="51"/>
      <c r="O138" s="51"/>
      <c r="P138" s="51"/>
      <c r="Q138" s="51"/>
      <c r="R138" s="51"/>
      <c r="S138" s="51"/>
      <c r="T138" s="51"/>
      <c r="U138" s="51"/>
      <c r="V138" s="51"/>
      <c r="W138" s="51"/>
      <c r="X138" s="51"/>
      <c r="Y138" s="51"/>
      <c r="Z138" s="51"/>
      <c r="AA138" s="51"/>
      <c r="AB138" s="51"/>
      <c r="AC138" s="51"/>
      <c r="AD138" s="51"/>
      <c r="AE138" s="51"/>
    </row>
    <row r="139" spans="2:31" x14ac:dyDescent="0.35">
      <c r="B139" s="51"/>
      <c r="C139" s="51"/>
      <c r="D139" s="51"/>
      <c r="E139" s="51"/>
      <c r="F139" s="51"/>
      <c r="G139" s="51"/>
      <c r="H139" s="51"/>
      <c r="I139" s="51"/>
      <c r="J139" s="51"/>
      <c r="K139" s="51"/>
      <c r="L139" s="51"/>
      <c r="M139" s="51"/>
      <c r="N139" s="51"/>
      <c r="O139" s="51"/>
      <c r="P139" s="51"/>
      <c r="Q139" s="51"/>
      <c r="R139" s="51"/>
      <c r="S139" s="51"/>
      <c r="T139" s="51"/>
      <c r="U139" s="51"/>
      <c r="V139" s="51"/>
      <c r="W139" s="51"/>
      <c r="X139" s="51"/>
      <c r="Y139" s="51"/>
      <c r="Z139" s="51"/>
      <c r="AA139" s="51"/>
      <c r="AB139" s="51"/>
      <c r="AC139" s="51"/>
      <c r="AD139" s="51"/>
      <c r="AE139" s="51"/>
    </row>
    <row r="140" spans="2:31" x14ac:dyDescent="0.35">
      <c r="B140" s="51"/>
      <c r="C140" s="51"/>
      <c r="D140" s="51"/>
      <c r="E140" s="51"/>
      <c r="F140" s="51"/>
      <c r="G140" s="51"/>
      <c r="H140" s="51"/>
      <c r="I140" s="51"/>
      <c r="J140" s="51"/>
      <c r="K140" s="51"/>
      <c r="L140" s="51"/>
      <c r="M140" s="51"/>
      <c r="N140" s="51"/>
      <c r="O140" s="51"/>
      <c r="P140" s="51"/>
      <c r="Q140" s="51"/>
      <c r="R140" s="51"/>
      <c r="S140" s="51"/>
      <c r="T140" s="51"/>
      <c r="U140" s="51"/>
      <c r="V140" s="51"/>
      <c r="W140" s="51"/>
      <c r="X140" s="51"/>
      <c r="Y140" s="51"/>
      <c r="Z140" s="51"/>
      <c r="AA140" s="51"/>
      <c r="AB140" s="51"/>
      <c r="AC140" s="51"/>
      <c r="AD140" s="51"/>
      <c r="AE140" s="51"/>
    </row>
    <row r="141" spans="2:31" x14ac:dyDescent="0.35">
      <c r="B141" s="51"/>
      <c r="C141" s="51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51"/>
      <c r="P141" s="51"/>
      <c r="Q141" s="51"/>
      <c r="R141" s="51"/>
      <c r="S141" s="51"/>
      <c r="T141" s="51"/>
      <c r="U141" s="51"/>
      <c r="V141" s="51"/>
      <c r="W141" s="51"/>
      <c r="X141" s="51"/>
      <c r="Y141" s="51"/>
      <c r="Z141" s="51"/>
      <c r="AA141" s="51"/>
      <c r="AB141" s="51"/>
      <c r="AC141" s="51"/>
      <c r="AD141" s="51"/>
      <c r="AE141" s="51"/>
    </row>
    <row r="142" spans="2:31" x14ac:dyDescent="0.35">
      <c r="B142" s="51"/>
      <c r="C142" s="51"/>
      <c r="D142" s="51"/>
      <c r="E142" s="51"/>
      <c r="F142" s="51"/>
      <c r="G142" s="51"/>
      <c r="H142" s="51"/>
      <c r="I142" s="51"/>
      <c r="J142" s="51"/>
      <c r="K142" s="51"/>
      <c r="L142" s="51"/>
      <c r="M142" s="51"/>
      <c r="N142" s="51"/>
      <c r="O142" s="51"/>
      <c r="P142" s="51"/>
      <c r="Q142" s="51"/>
      <c r="R142" s="51"/>
      <c r="S142" s="51"/>
      <c r="T142" s="51"/>
      <c r="U142" s="51"/>
      <c r="V142" s="51"/>
      <c r="W142" s="51"/>
      <c r="X142" s="51"/>
      <c r="Y142" s="51"/>
      <c r="Z142" s="51"/>
      <c r="AA142" s="51"/>
      <c r="AB142" s="51"/>
      <c r="AC142" s="51"/>
      <c r="AD142" s="51"/>
      <c r="AE142" s="51"/>
    </row>
    <row r="143" spans="2:31" x14ac:dyDescent="0.35">
      <c r="B143" s="51"/>
      <c r="C143" s="51"/>
      <c r="D143" s="51"/>
      <c r="E143" s="51"/>
      <c r="F143" s="51"/>
      <c r="G143" s="51"/>
      <c r="H143" s="51"/>
      <c r="I143" s="51"/>
      <c r="J143" s="51"/>
      <c r="K143" s="51"/>
      <c r="L143" s="51"/>
      <c r="M143" s="51"/>
      <c r="N143" s="51"/>
      <c r="O143" s="51"/>
      <c r="P143" s="51"/>
      <c r="Q143" s="51"/>
      <c r="R143" s="51"/>
      <c r="S143" s="51"/>
      <c r="T143" s="51"/>
      <c r="U143" s="51"/>
      <c r="V143" s="51"/>
      <c r="W143" s="51"/>
      <c r="X143" s="51"/>
      <c r="Y143" s="51"/>
      <c r="Z143" s="51"/>
      <c r="AA143" s="51"/>
      <c r="AB143" s="51"/>
      <c r="AC143" s="51"/>
      <c r="AD143" s="51"/>
      <c r="AE143" s="51"/>
    </row>
    <row r="144" spans="2:31" x14ac:dyDescent="0.35">
      <c r="B144" s="51"/>
      <c r="C144" s="51"/>
      <c r="D144" s="51"/>
      <c r="E144" s="51"/>
      <c r="F144" s="51"/>
      <c r="G144" s="51"/>
      <c r="H144" s="51"/>
      <c r="I144" s="51"/>
      <c r="J144" s="51"/>
      <c r="K144" s="51"/>
      <c r="L144" s="51"/>
      <c r="M144" s="51"/>
      <c r="N144" s="51"/>
      <c r="O144" s="51"/>
      <c r="P144" s="51"/>
      <c r="Q144" s="51"/>
      <c r="R144" s="51"/>
      <c r="S144" s="51"/>
      <c r="T144" s="51"/>
      <c r="U144" s="51"/>
      <c r="V144" s="51"/>
      <c r="W144" s="51"/>
      <c r="X144" s="51"/>
      <c r="Y144" s="51"/>
      <c r="Z144" s="51"/>
      <c r="AA144" s="51"/>
      <c r="AB144" s="51"/>
      <c r="AC144" s="51"/>
      <c r="AD144" s="51"/>
      <c r="AE144" s="51"/>
    </row>
    <row r="145" spans="2:31" x14ac:dyDescent="0.35">
      <c r="B145" s="51"/>
      <c r="C145" s="51"/>
      <c r="D145" s="51"/>
      <c r="E145" s="51"/>
      <c r="F145" s="51"/>
      <c r="G145" s="51"/>
      <c r="H145" s="51"/>
      <c r="I145" s="51"/>
      <c r="J145" s="51"/>
      <c r="K145" s="51"/>
      <c r="L145" s="51"/>
      <c r="M145" s="51"/>
      <c r="N145" s="51"/>
      <c r="O145" s="51"/>
      <c r="P145" s="51"/>
      <c r="Q145" s="51"/>
      <c r="R145" s="51"/>
      <c r="S145" s="51"/>
      <c r="T145" s="51"/>
      <c r="U145" s="51"/>
      <c r="V145" s="51"/>
      <c r="W145" s="51"/>
      <c r="X145" s="51"/>
      <c r="Y145" s="51"/>
      <c r="Z145" s="51"/>
      <c r="AA145" s="51"/>
      <c r="AB145" s="51"/>
      <c r="AC145" s="51"/>
      <c r="AD145" s="51"/>
      <c r="AE145" s="51"/>
    </row>
    <row r="146" spans="2:31" x14ac:dyDescent="0.35">
      <c r="B146" s="51"/>
      <c r="C146" s="51"/>
      <c r="D146" s="51"/>
      <c r="E146" s="51"/>
      <c r="F146" s="51"/>
      <c r="G146" s="51"/>
      <c r="H146" s="51"/>
      <c r="I146" s="51"/>
      <c r="J146" s="51"/>
      <c r="K146" s="51"/>
      <c r="L146" s="51"/>
      <c r="M146" s="51"/>
      <c r="N146" s="51"/>
      <c r="O146" s="51"/>
      <c r="P146" s="51"/>
      <c r="Q146" s="51"/>
      <c r="R146" s="51"/>
      <c r="S146" s="51"/>
      <c r="T146" s="51"/>
      <c r="U146" s="51"/>
      <c r="V146" s="51"/>
      <c r="W146" s="51"/>
      <c r="X146" s="51"/>
      <c r="Y146" s="51"/>
      <c r="Z146" s="51"/>
      <c r="AA146" s="51"/>
      <c r="AB146" s="51"/>
      <c r="AC146" s="51"/>
      <c r="AD146" s="51"/>
      <c r="AE146" s="51"/>
    </row>
    <row r="147" spans="2:31" x14ac:dyDescent="0.35">
      <c r="B147" s="51"/>
      <c r="C147" s="51"/>
      <c r="D147" s="51"/>
      <c r="E147" s="51"/>
      <c r="F147" s="51"/>
      <c r="G147" s="51"/>
      <c r="H147" s="51"/>
      <c r="I147" s="51"/>
      <c r="J147" s="51"/>
      <c r="K147" s="51"/>
      <c r="L147" s="51"/>
      <c r="M147" s="51"/>
      <c r="N147" s="51"/>
      <c r="O147" s="51"/>
      <c r="P147" s="51"/>
      <c r="Q147" s="51"/>
      <c r="R147" s="51"/>
      <c r="S147" s="51"/>
      <c r="T147" s="51"/>
      <c r="U147" s="51"/>
      <c r="V147" s="51"/>
      <c r="W147" s="51"/>
      <c r="X147" s="51"/>
      <c r="Y147" s="51"/>
      <c r="Z147" s="51"/>
      <c r="AA147" s="51"/>
      <c r="AB147" s="51"/>
      <c r="AC147" s="51"/>
      <c r="AD147" s="51"/>
      <c r="AE147" s="51"/>
    </row>
    <row r="148" spans="2:31" x14ac:dyDescent="0.35">
      <c r="B148" s="51"/>
      <c r="C148" s="51"/>
      <c r="D148" s="51"/>
      <c r="E148" s="51"/>
      <c r="F148" s="51"/>
      <c r="G148" s="51"/>
      <c r="H148" s="51"/>
      <c r="I148" s="51"/>
      <c r="J148" s="51"/>
      <c r="K148" s="51"/>
      <c r="L148" s="51"/>
      <c r="M148" s="51"/>
      <c r="N148" s="51"/>
      <c r="O148" s="51"/>
      <c r="P148" s="51"/>
      <c r="Q148" s="51"/>
      <c r="R148" s="51"/>
      <c r="S148" s="51"/>
      <c r="T148" s="51"/>
      <c r="U148" s="51"/>
      <c r="V148" s="51"/>
      <c r="W148" s="51"/>
      <c r="X148" s="51"/>
      <c r="Y148" s="51"/>
      <c r="Z148" s="51"/>
      <c r="AA148" s="51"/>
      <c r="AB148" s="51"/>
      <c r="AC148" s="51"/>
      <c r="AD148" s="51"/>
      <c r="AE148" s="51"/>
    </row>
    <row r="149" spans="2:31" x14ac:dyDescent="0.35">
      <c r="B149" s="51"/>
      <c r="C149" s="51"/>
      <c r="D149" s="51"/>
      <c r="E149" s="51"/>
      <c r="F149" s="51"/>
      <c r="G149" s="51"/>
      <c r="H149" s="51"/>
      <c r="I149" s="51"/>
      <c r="J149" s="51"/>
      <c r="K149" s="51"/>
      <c r="L149" s="51"/>
      <c r="M149" s="51"/>
      <c r="N149" s="51"/>
      <c r="O149" s="51"/>
      <c r="P149" s="51"/>
      <c r="Q149" s="51"/>
      <c r="R149" s="51"/>
      <c r="S149" s="51"/>
      <c r="T149" s="51"/>
      <c r="U149" s="51"/>
      <c r="V149" s="51"/>
      <c r="W149" s="51"/>
      <c r="X149" s="51"/>
      <c r="Y149" s="51"/>
      <c r="Z149" s="51"/>
      <c r="AA149" s="51"/>
      <c r="AB149" s="51"/>
      <c r="AC149" s="51"/>
      <c r="AD149" s="51"/>
      <c r="AE149" s="51"/>
    </row>
    <row r="150" spans="2:31" x14ac:dyDescent="0.35">
      <c r="B150" s="51"/>
      <c r="C150" s="51"/>
      <c r="D150" s="51"/>
      <c r="E150" s="51"/>
      <c r="F150" s="51"/>
      <c r="G150" s="51"/>
      <c r="H150" s="51"/>
      <c r="I150" s="51"/>
      <c r="J150" s="51"/>
      <c r="K150" s="51"/>
      <c r="L150" s="51"/>
      <c r="M150" s="51"/>
      <c r="N150" s="51"/>
      <c r="O150" s="51"/>
      <c r="P150" s="51"/>
      <c r="Q150" s="51"/>
      <c r="R150" s="51"/>
      <c r="S150" s="51"/>
      <c r="T150" s="51"/>
      <c r="U150" s="51"/>
      <c r="V150" s="51"/>
      <c r="W150" s="51"/>
      <c r="X150" s="51"/>
      <c r="Y150" s="51"/>
      <c r="Z150" s="51"/>
      <c r="AA150" s="51"/>
      <c r="AB150" s="51"/>
      <c r="AC150" s="51"/>
      <c r="AD150" s="51"/>
      <c r="AE150" s="51"/>
    </row>
    <row r="151" spans="2:31" x14ac:dyDescent="0.35"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51"/>
      <c r="N151" s="51"/>
      <c r="O151" s="51"/>
      <c r="P151" s="51"/>
      <c r="Q151" s="51"/>
      <c r="R151" s="51"/>
      <c r="S151" s="51"/>
      <c r="T151" s="51"/>
      <c r="U151" s="51"/>
      <c r="V151" s="51"/>
      <c r="W151" s="51"/>
      <c r="X151" s="51"/>
      <c r="Y151" s="51"/>
      <c r="Z151" s="51"/>
      <c r="AA151" s="51"/>
      <c r="AB151" s="51"/>
      <c r="AC151" s="51"/>
      <c r="AD151" s="51"/>
      <c r="AE151" s="51"/>
    </row>
    <row r="152" spans="2:31" x14ac:dyDescent="0.35">
      <c r="B152" s="51"/>
      <c r="C152" s="51"/>
      <c r="D152" s="51"/>
      <c r="E152" s="51"/>
      <c r="F152" s="51"/>
      <c r="G152" s="51"/>
      <c r="H152" s="51"/>
      <c r="I152" s="51"/>
      <c r="J152" s="51"/>
      <c r="K152" s="51"/>
      <c r="L152" s="51"/>
      <c r="M152" s="51"/>
      <c r="N152" s="51"/>
      <c r="O152" s="51"/>
      <c r="P152" s="51"/>
      <c r="Q152" s="51"/>
      <c r="R152" s="51"/>
      <c r="S152" s="51"/>
      <c r="T152" s="51"/>
      <c r="U152" s="51"/>
      <c r="V152" s="51"/>
      <c r="W152" s="51"/>
      <c r="X152" s="51"/>
      <c r="Y152" s="51"/>
      <c r="Z152" s="51"/>
      <c r="AA152" s="51"/>
      <c r="AB152" s="51"/>
      <c r="AC152" s="51"/>
      <c r="AD152" s="51"/>
      <c r="AE152" s="51"/>
    </row>
    <row r="153" spans="2:31" x14ac:dyDescent="0.35"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51"/>
      <c r="N153" s="51"/>
      <c r="O153" s="51"/>
      <c r="P153" s="51"/>
      <c r="Q153" s="51"/>
      <c r="R153" s="51"/>
      <c r="S153" s="51"/>
      <c r="T153" s="51"/>
      <c r="U153" s="51"/>
      <c r="V153" s="51"/>
      <c r="W153" s="51"/>
      <c r="X153" s="51"/>
      <c r="Y153" s="51"/>
      <c r="Z153" s="51"/>
      <c r="AA153" s="51"/>
      <c r="AB153" s="51"/>
      <c r="AC153" s="51"/>
      <c r="AD153" s="51"/>
      <c r="AE153" s="51"/>
    </row>
    <row r="154" spans="2:31" x14ac:dyDescent="0.35"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51"/>
      <c r="N154" s="51"/>
      <c r="O154" s="51"/>
      <c r="P154" s="51"/>
      <c r="Q154" s="51"/>
      <c r="R154" s="51"/>
      <c r="S154" s="51"/>
      <c r="T154" s="51"/>
      <c r="U154" s="51"/>
      <c r="V154" s="51"/>
      <c r="W154" s="51"/>
      <c r="X154" s="51"/>
      <c r="Y154" s="51"/>
      <c r="Z154" s="51"/>
      <c r="AA154" s="51"/>
      <c r="AB154" s="51"/>
      <c r="AC154" s="51"/>
      <c r="AD154" s="51"/>
      <c r="AE154" s="51"/>
    </row>
    <row r="155" spans="2:31" x14ac:dyDescent="0.35"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51"/>
      <c r="N155" s="51"/>
      <c r="O155" s="51"/>
      <c r="P155" s="51"/>
      <c r="Q155" s="51"/>
      <c r="R155" s="51"/>
      <c r="S155" s="51"/>
      <c r="T155" s="51"/>
      <c r="U155" s="51"/>
      <c r="V155" s="51"/>
      <c r="W155" s="51"/>
      <c r="X155" s="51"/>
      <c r="Y155" s="51"/>
      <c r="Z155" s="51"/>
      <c r="AA155" s="51"/>
      <c r="AB155" s="51"/>
      <c r="AC155" s="51"/>
      <c r="AD155" s="51"/>
      <c r="AE155" s="51"/>
    </row>
    <row r="156" spans="2:31" x14ac:dyDescent="0.35">
      <c r="B156" s="51"/>
      <c r="C156" s="51"/>
      <c r="D156" s="51"/>
      <c r="E156" s="51"/>
      <c r="F156" s="51"/>
      <c r="G156" s="51"/>
      <c r="H156" s="51"/>
      <c r="I156" s="51"/>
      <c r="J156" s="51"/>
      <c r="K156" s="51"/>
      <c r="L156" s="51"/>
      <c r="M156" s="51"/>
      <c r="N156" s="51"/>
      <c r="O156" s="51"/>
      <c r="P156" s="51"/>
      <c r="Q156" s="51"/>
      <c r="R156" s="51"/>
      <c r="S156" s="51"/>
      <c r="T156" s="51"/>
      <c r="U156" s="51"/>
      <c r="V156" s="51"/>
      <c r="W156" s="51"/>
      <c r="X156" s="51"/>
      <c r="Y156" s="51"/>
      <c r="Z156" s="51"/>
      <c r="AA156" s="51"/>
      <c r="AB156" s="51"/>
      <c r="AC156" s="51"/>
      <c r="AD156" s="51"/>
      <c r="AE156" s="51"/>
    </row>
    <row r="157" spans="2:31" x14ac:dyDescent="0.35">
      <c r="B157" s="51"/>
      <c r="C157" s="51"/>
      <c r="D157" s="51"/>
      <c r="E157" s="51"/>
      <c r="F157" s="51"/>
      <c r="G157" s="51"/>
      <c r="H157" s="51"/>
      <c r="I157" s="51"/>
      <c r="J157" s="51"/>
      <c r="K157" s="51"/>
      <c r="L157" s="51"/>
      <c r="M157" s="51"/>
      <c r="N157" s="51"/>
      <c r="O157" s="51"/>
      <c r="P157" s="51"/>
      <c r="Q157" s="51"/>
      <c r="R157" s="51"/>
      <c r="S157" s="51"/>
      <c r="T157" s="51"/>
      <c r="U157" s="51"/>
      <c r="V157" s="51"/>
      <c r="W157" s="51"/>
      <c r="X157" s="51"/>
      <c r="Y157" s="51"/>
      <c r="Z157" s="51"/>
      <c r="AA157" s="51"/>
      <c r="AB157" s="51"/>
      <c r="AC157" s="51"/>
      <c r="AD157" s="51"/>
      <c r="AE157" s="51"/>
    </row>
    <row r="158" spans="2:31" x14ac:dyDescent="0.35">
      <c r="B158" s="51"/>
      <c r="C158" s="51"/>
      <c r="D158" s="51"/>
      <c r="E158" s="51"/>
      <c r="F158" s="51"/>
      <c r="G158" s="51"/>
      <c r="H158" s="51"/>
      <c r="I158" s="51"/>
      <c r="J158" s="51"/>
      <c r="K158" s="51"/>
      <c r="L158" s="51"/>
      <c r="M158" s="51"/>
      <c r="N158" s="51"/>
      <c r="O158" s="51"/>
      <c r="P158" s="51"/>
      <c r="Q158" s="51"/>
      <c r="R158" s="51"/>
      <c r="S158" s="51"/>
      <c r="T158" s="51"/>
      <c r="U158" s="51"/>
      <c r="V158" s="51"/>
      <c r="W158" s="51"/>
      <c r="X158" s="51"/>
      <c r="Y158" s="51"/>
      <c r="Z158" s="51"/>
      <c r="AA158" s="51"/>
      <c r="AB158" s="51"/>
      <c r="AC158" s="51"/>
      <c r="AD158" s="51"/>
      <c r="AE158" s="51"/>
    </row>
    <row r="159" spans="2:31" x14ac:dyDescent="0.35">
      <c r="B159" s="51"/>
      <c r="C159" s="51"/>
      <c r="D159" s="51"/>
      <c r="E159" s="51"/>
      <c r="F159" s="51"/>
      <c r="G159" s="51"/>
      <c r="H159" s="51"/>
      <c r="I159" s="51"/>
      <c r="J159" s="51"/>
      <c r="K159" s="51"/>
      <c r="L159" s="51"/>
      <c r="M159" s="51"/>
      <c r="N159" s="51"/>
      <c r="O159" s="51"/>
      <c r="P159" s="51"/>
      <c r="Q159" s="51"/>
      <c r="R159" s="51"/>
      <c r="S159" s="51"/>
      <c r="T159" s="51"/>
      <c r="U159" s="51"/>
      <c r="V159" s="51"/>
      <c r="W159" s="51"/>
      <c r="X159" s="51"/>
      <c r="Y159" s="51"/>
      <c r="Z159" s="51"/>
      <c r="AA159" s="51"/>
      <c r="AB159" s="51"/>
      <c r="AC159" s="51"/>
      <c r="AD159" s="51"/>
      <c r="AE159" s="51"/>
    </row>
    <row r="160" spans="2:31" x14ac:dyDescent="0.35">
      <c r="B160" s="51"/>
      <c r="C160" s="51"/>
      <c r="D160" s="51"/>
      <c r="E160" s="51"/>
      <c r="F160" s="51"/>
      <c r="G160" s="51"/>
      <c r="H160" s="51"/>
      <c r="I160" s="51"/>
      <c r="J160" s="51"/>
      <c r="K160" s="51"/>
      <c r="L160" s="51"/>
      <c r="M160" s="51"/>
      <c r="N160" s="51"/>
      <c r="O160" s="51"/>
      <c r="P160" s="51"/>
      <c r="Q160" s="51"/>
      <c r="R160" s="51"/>
      <c r="S160" s="51"/>
      <c r="T160" s="51"/>
      <c r="U160" s="51"/>
      <c r="V160" s="51"/>
      <c r="W160" s="51"/>
      <c r="X160" s="51"/>
      <c r="Y160" s="51"/>
      <c r="Z160" s="51"/>
      <c r="AA160" s="51"/>
      <c r="AB160" s="51"/>
      <c r="AC160" s="51"/>
      <c r="AD160" s="51"/>
      <c r="AE160" s="51"/>
    </row>
    <row r="161" spans="2:31" x14ac:dyDescent="0.35">
      <c r="B161" s="51"/>
      <c r="C161" s="51"/>
      <c r="D161" s="51"/>
      <c r="E161" s="51"/>
      <c r="F161" s="51"/>
      <c r="G161" s="51"/>
      <c r="H161" s="51"/>
      <c r="I161" s="51"/>
      <c r="J161" s="51"/>
      <c r="K161" s="51"/>
      <c r="L161" s="51"/>
      <c r="M161" s="51"/>
      <c r="N161" s="51"/>
      <c r="O161" s="51"/>
      <c r="P161" s="51"/>
      <c r="Q161" s="51"/>
      <c r="R161" s="51"/>
      <c r="S161" s="51"/>
      <c r="T161" s="51"/>
      <c r="U161" s="51"/>
      <c r="V161" s="51"/>
      <c r="W161" s="51"/>
      <c r="X161" s="51"/>
      <c r="Y161" s="51"/>
      <c r="Z161" s="51"/>
      <c r="AA161" s="51"/>
      <c r="AB161" s="51"/>
      <c r="AC161" s="51"/>
      <c r="AD161" s="51"/>
      <c r="AE161" s="51"/>
    </row>
    <row r="162" spans="2:31" x14ac:dyDescent="0.35">
      <c r="B162" s="51"/>
      <c r="C162" s="51"/>
      <c r="D162" s="51"/>
      <c r="E162" s="51"/>
      <c r="F162" s="51"/>
      <c r="G162" s="51"/>
      <c r="H162" s="51"/>
      <c r="I162" s="51"/>
      <c r="J162" s="51"/>
      <c r="K162" s="51"/>
      <c r="L162" s="51"/>
      <c r="M162" s="51"/>
      <c r="N162" s="51"/>
      <c r="O162" s="51"/>
      <c r="P162" s="51"/>
      <c r="Q162" s="51"/>
      <c r="R162" s="51"/>
      <c r="S162" s="51"/>
      <c r="T162" s="51"/>
      <c r="U162" s="51"/>
      <c r="V162" s="51"/>
      <c r="W162" s="51"/>
      <c r="X162" s="51"/>
      <c r="Y162" s="51"/>
      <c r="Z162" s="51"/>
      <c r="AA162" s="51"/>
      <c r="AB162" s="51"/>
      <c r="AC162" s="51"/>
      <c r="AD162" s="51"/>
      <c r="AE162" s="51"/>
    </row>
    <row r="163" spans="2:31" x14ac:dyDescent="0.35">
      <c r="B163" s="51"/>
      <c r="C163" s="51"/>
      <c r="D163" s="51"/>
      <c r="E163" s="51"/>
      <c r="F163" s="51"/>
      <c r="G163" s="51"/>
      <c r="H163" s="51"/>
      <c r="I163" s="51"/>
      <c r="J163" s="51"/>
      <c r="K163" s="51"/>
      <c r="L163" s="51"/>
      <c r="M163" s="51"/>
      <c r="N163" s="51"/>
      <c r="O163" s="51"/>
      <c r="P163" s="51"/>
      <c r="Q163" s="51"/>
      <c r="R163" s="51"/>
      <c r="S163" s="51"/>
      <c r="T163" s="51"/>
      <c r="U163" s="51"/>
      <c r="V163" s="51"/>
      <c r="W163" s="51"/>
      <c r="X163" s="51"/>
      <c r="Y163" s="51"/>
      <c r="Z163" s="51"/>
      <c r="AA163" s="51"/>
      <c r="AB163" s="51"/>
      <c r="AC163" s="51"/>
      <c r="AD163" s="51"/>
      <c r="AE163" s="51"/>
    </row>
    <row r="164" spans="2:31" x14ac:dyDescent="0.35">
      <c r="B164" s="51"/>
      <c r="C164" s="51"/>
      <c r="D164" s="51"/>
      <c r="E164" s="51"/>
      <c r="F164" s="51"/>
      <c r="G164" s="51"/>
      <c r="H164" s="51"/>
      <c r="I164" s="51"/>
      <c r="J164" s="51"/>
      <c r="K164" s="51"/>
      <c r="L164" s="51"/>
      <c r="M164" s="51"/>
      <c r="N164" s="51"/>
      <c r="O164" s="51"/>
      <c r="P164" s="51"/>
      <c r="Q164" s="51"/>
      <c r="R164" s="51"/>
      <c r="S164" s="51"/>
      <c r="T164" s="51"/>
      <c r="U164" s="51"/>
      <c r="V164" s="51"/>
      <c r="W164" s="51"/>
      <c r="X164" s="51"/>
      <c r="Y164" s="51"/>
      <c r="Z164" s="51"/>
      <c r="AA164" s="51"/>
      <c r="AB164" s="51"/>
      <c r="AC164" s="51"/>
      <c r="AD164" s="51"/>
      <c r="AE164" s="51"/>
    </row>
    <row r="165" spans="2:31" x14ac:dyDescent="0.35">
      <c r="B165" s="51"/>
      <c r="C165" s="51"/>
      <c r="D165" s="51"/>
      <c r="E165" s="51"/>
      <c r="F165" s="51"/>
      <c r="G165" s="51"/>
      <c r="H165" s="51"/>
      <c r="I165" s="51"/>
      <c r="J165" s="51"/>
      <c r="K165" s="51"/>
      <c r="L165" s="51"/>
      <c r="M165" s="51"/>
      <c r="N165" s="51"/>
      <c r="O165" s="51"/>
      <c r="P165" s="51"/>
      <c r="Q165" s="51"/>
      <c r="R165" s="51"/>
      <c r="S165" s="51"/>
      <c r="T165" s="51"/>
      <c r="U165" s="51"/>
      <c r="V165" s="51"/>
      <c r="W165" s="51"/>
      <c r="X165" s="51"/>
      <c r="Y165" s="51"/>
      <c r="Z165" s="51"/>
      <c r="AA165" s="51"/>
      <c r="AB165" s="51"/>
      <c r="AC165" s="51"/>
      <c r="AD165" s="51"/>
      <c r="AE165" s="51"/>
    </row>
    <row r="166" spans="2:31" x14ac:dyDescent="0.35">
      <c r="B166" s="51"/>
      <c r="C166" s="51"/>
      <c r="D166" s="51"/>
      <c r="E166" s="51"/>
      <c r="F166" s="51"/>
      <c r="G166" s="51"/>
      <c r="H166" s="51"/>
      <c r="I166" s="51"/>
      <c r="J166" s="51"/>
      <c r="K166" s="51"/>
      <c r="L166" s="51"/>
      <c r="M166" s="51"/>
      <c r="N166" s="51"/>
      <c r="O166" s="51"/>
      <c r="P166" s="51"/>
      <c r="Q166" s="51"/>
      <c r="R166" s="51"/>
      <c r="S166" s="51"/>
      <c r="T166" s="51"/>
      <c r="U166" s="51"/>
      <c r="V166" s="51"/>
      <c r="W166" s="51"/>
      <c r="X166" s="51"/>
      <c r="Y166" s="51"/>
      <c r="Z166" s="51"/>
      <c r="AA166" s="51"/>
      <c r="AB166" s="51"/>
      <c r="AC166" s="51"/>
      <c r="AD166" s="51"/>
      <c r="AE166" s="51"/>
    </row>
    <row r="167" spans="2:31" x14ac:dyDescent="0.35">
      <c r="B167" s="51"/>
      <c r="C167" s="51"/>
      <c r="D167" s="51"/>
      <c r="E167" s="51"/>
      <c r="F167" s="51"/>
      <c r="G167" s="51"/>
      <c r="H167" s="51"/>
      <c r="I167" s="51"/>
      <c r="J167" s="51"/>
      <c r="K167" s="51"/>
      <c r="L167" s="51"/>
      <c r="M167" s="51"/>
      <c r="N167" s="51"/>
      <c r="O167" s="51"/>
      <c r="P167" s="51"/>
      <c r="Q167" s="51"/>
      <c r="R167" s="51"/>
      <c r="S167" s="51"/>
      <c r="T167" s="51"/>
      <c r="U167" s="51"/>
      <c r="V167" s="51"/>
      <c r="W167" s="51"/>
      <c r="X167" s="51"/>
      <c r="Y167" s="51"/>
      <c r="Z167" s="51"/>
      <c r="AA167" s="51"/>
      <c r="AB167" s="51"/>
      <c r="AC167" s="51"/>
      <c r="AD167" s="51"/>
      <c r="AE167" s="51"/>
    </row>
    <row r="168" spans="2:31" x14ac:dyDescent="0.35">
      <c r="B168" s="51"/>
      <c r="C168" s="51"/>
      <c r="D168" s="51"/>
      <c r="E168" s="51"/>
      <c r="F168" s="51"/>
      <c r="G168" s="51"/>
      <c r="H168" s="51"/>
      <c r="I168" s="51"/>
      <c r="J168" s="51"/>
      <c r="K168" s="51"/>
      <c r="L168" s="51"/>
      <c r="M168" s="51"/>
      <c r="N168" s="51"/>
      <c r="O168" s="51"/>
      <c r="P168" s="51"/>
      <c r="Q168" s="51"/>
      <c r="R168" s="51"/>
      <c r="S168" s="51"/>
      <c r="T168" s="51"/>
      <c r="U168" s="51"/>
      <c r="V168" s="51"/>
      <c r="W168" s="51"/>
      <c r="X168" s="51"/>
      <c r="Y168" s="51"/>
      <c r="Z168" s="51"/>
      <c r="AA168" s="51"/>
      <c r="AB168" s="51"/>
      <c r="AC168" s="51"/>
      <c r="AD168" s="51"/>
      <c r="AE168" s="51"/>
    </row>
    <row r="169" spans="2:31" x14ac:dyDescent="0.35">
      <c r="B169" s="51"/>
      <c r="C169" s="51"/>
      <c r="D169" s="51"/>
      <c r="E169" s="51"/>
      <c r="F169" s="51"/>
      <c r="G169" s="51"/>
      <c r="H169" s="51"/>
      <c r="I169" s="51"/>
      <c r="J169" s="51"/>
      <c r="K169" s="51"/>
      <c r="L169" s="51"/>
      <c r="M169" s="51"/>
      <c r="N169" s="51"/>
      <c r="O169" s="51"/>
      <c r="P169" s="51"/>
      <c r="Q169" s="51"/>
      <c r="R169" s="51"/>
      <c r="S169" s="51"/>
      <c r="T169" s="51"/>
      <c r="U169" s="51"/>
      <c r="V169" s="51"/>
      <c r="W169" s="51"/>
      <c r="X169" s="51"/>
      <c r="Y169" s="51"/>
      <c r="Z169" s="51"/>
      <c r="AA169" s="51"/>
      <c r="AB169" s="51"/>
      <c r="AC169" s="51"/>
      <c r="AD169" s="51"/>
      <c r="AE169" s="51"/>
    </row>
    <row r="170" spans="2:31" x14ac:dyDescent="0.35">
      <c r="B170" s="51"/>
      <c r="C170" s="51"/>
      <c r="D170" s="51"/>
      <c r="E170" s="51"/>
      <c r="F170" s="51"/>
      <c r="G170" s="51"/>
      <c r="H170" s="51"/>
      <c r="I170" s="51"/>
      <c r="J170" s="51"/>
      <c r="K170" s="51"/>
      <c r="L170" s="51"/>
      <c r="M170" s="51"/>
      <c r="N170" s="51"/>
      <c r="O170" s="51"/>
      <c r="P170" s="51"/>
      <c r="Q170" s="51"/>
      <c r="R170" s="51"/>
      <c r="S170" s="51"/>
      <c r="T170" s="51"/>
      <c r="U170" s="51"/>
      <c r="V170" s="51"/>
      <c r="W170" s="51"/>
      <c r="X170" s="51"/>
      <c r="Y170" s="51"/>
      <c r="Z170" s="51"/>
      <c r="AA170" s="51"/>
      <c r="AB170" s="51"/>
      <c r="AC170" s="51"/>
      <c r="AD170" s="51"/>
      <c r="AE170" s="51"/>
    </row>
    <row r="171" spans="2:31" x14ac:dyDescent="0.35">
      <c r="B171" s="51"/>
      <c r="C171" s="51"/>
      <c r="D171" s="51"/>
      <c r="E171" s="51"/>
      <c r="F171" s="51"/>
      <c r="G171" s="51"/>
      <c r="H171" s="51"/>
      <c r="I171" s="51"/>
      <c r="J171" s="51"/>
      <c r="K171" s="51"/>
      <c r="L171" s="51"/>
      <c r="M171" s="51"/>
      <c r="N171" s="51"/>
      <c r="O171" s="51"/>
      <c r="P171" s="51"/>
      <c r="Q171" s="51"/>
      <c r="R171" s="51"/>
      <c r="S171" s="51"/>
      <c r="T171" s="51"/>
      <c r="U171" s="51"/>
      <c r="V171" s="51"/>
      <c r="W171" s="51"/>
      <c r="X171" s="51"/>
      <c r="Y171" s="51"/>
      <c r="Z171" s="51"/>
      <c r="AA171" s="51"/>
      <c r="AB171" s="51"/>
      <c r="AC171" s="51"/>
      <c r="AD171" s="51"/>
      <c r="AE171" s="51"/>
    </row>
    <row r="172" spans="2:31" x14ac:dyDescent="0.35">
      <c r="B172" s="51"/>
      <c r="C172" s="51"/>
      <c r="D172" s="51"/>
      <c r="E172" s="51"/>
      <c r="F172" s="51"/>
      <c r="G172" s="51"/>
      <c r="H172" s="51"/>
      <c r="I172" s="51"/>
      <c r="J172" s="51"/>
      <c r="K172" s="51"/>
      <c r="L172" s="51"/>
      <c r="M172" s="51"/>
      <c r="N172" s="51"/>
      <c r="O172" s="51"/>
      <c r="P172" s="51"/>
      <c r="Q172" s="51"/>
      <c r="R172" s="51"/>
      <c r="S172" s="51"/>
      <c r="T172" s="51"/>
      <c r="U172" s="51"/>
      <c r="V172" s="51"/>
      <c r="W172" s="51"/>
      <c r="X172" s="51"/>
      <c r="Y172" s="51"/>
      <c r="Z172" s="51"/>
      <c r="AA172" s="51"/>
      <c r="AB172" s="51"/>
      <c r="AC172" s="51"/>
      <c r="AD172" s="51"/>
      <c r="AE172" s="51"/>
    </row>
    <row r="173" spans="2:31" x14ac:dyDescent="0.35">
      <c r="B173" s="51"/>
      <c r="C173" s="51"/>
      <c r="D173" s="51"/>
      <c r="E173" s="51"/>
      <c r="F173" s="51"/>
      <c r="G173" s="51"/>
      <c r="H173" s="51"/>
      <c r="I173" s="51"/>
      <c r="J173" s="51"/>
      <c r="K173" s="51"/>
      <c r="L173" s="51"/>
      <c r="M173" s="51"/>
      <c r="N173" s="51"/>
      <c r="O173" s="51"/>
      <c r="P173" s="51"/>
      <c r="Q173" s="51"/>
      <c r="R173" s="51"/>
      <c r="S173" s="51"/>
      <c r="T173" s="51"/>
      <c r="U173" s="51"/>
      <c r="V173" s="51"/>
      <c r="W173" s="51"/>
      <c r="X173" s="51"/>
      <c r="Y173" s="51"/>
      <c r="Z173" s="51"/>
      <c r="AA173" s="51"/>
      <c r="AB173" s="51"/>
      <c r="AC173" s="51"/>
      <c r="AD173" s="51"/>
      <c r="AE173" s="51"/>
    </row>
    <row r="174" spans="2:31" x14ac:dyDescent="0.35">
      <c r="B174" s="51"/>
      <c r="C174" s="51"/>
      <c r="D174" s="51"/>
      <c r="E174" s="51"/>
      <c r="F174" s="51"/>
      <c r="G174" s="51"/>
      <c r="H174" s="51"/>
      <c r="I174" s="51"/>
      <c r="J174" s="51"/>
      <c r="K174" s="51"/>
      <c r="L174" s="51"/>
      <c r="M174" s="51"/>
      <c r="N174" s="51"/>
      <c r="O174" s="51"/>
      <c r="P174" s="51"/>
      <c r="Q174" s="51"/>
      <c r="R174" s="51"/>
      <c r="S174" s="51"/>
      <c r="T174" s="51"/>
      <c r="U174" s="51"/>
      <c r="V174" s="51"/>
      <c r="W174" s="51"/>
      <c r="X174" s="51"/>
      <c r="Y174" s="51"/>
      <c r="Z174" s="51"/>
      <c r="AA174" s="51"/>
      <c r="AB174" s="51"/>
      <c r="AC174" s="51"/>
      <c r="AD174" s="51"/>
      <c r="AE174" s="51"/>
    </row>
    <row r="175" spans="2:31" x14ac:dyDescent="0.35">
      <c r="B175" s="51"/>
      <c r="C175" s="51"/>
      <c r="D175" s="51"/>
      <c r="E175" s="51"/>
      <c r="F175" s="51"/>
      <c r="G175" s="51"/>
      <c r="H175" s="51"/>
      <c r="I175" s="51"/>
      <c r="J175" s="51"/>
      <c r="K175" s="51"/>
      <c r="L175" s="51"/>
      <c r="M175" s="51"/>
      <c r="N175" s="51"/>
      <c r="O175" s="51"/>
      <c r="P175" s="51"/>
      <c r="Q175" s="51"/>
      <c r="R175" s="51"/>
      <c r="S175" s="51"/>
      <c r="T175" s="51"/>
      <c r="U175" s="51"/>
      <c r="V175" s="51"/>
      <c r="W175" s="51"/>
      <c r="X175" s="51"/>
      <c r="Y175" s="51"/>
      <c r="Z175" s="51"/>
      <c r="AA175" s="51"/>
      <c r="AB175" s="51"/>
      <c r="AC175" s="51"/>
      <c r="AD175" s="51"/>
      <c r="AE175" s="51"/>
    </row>
    <row r="176" spans="2:31" x14ac:dyDescent="0.35">
      <c r="B176" s="51"/>
      <c r="C176" s="51"/>
      <c r="D176" s="51"/>
      <c r="E176" s="51"/>
      <c r="F176" s="51"/>
      <c r="G176" s="51"/>
      <c r="H176" s="51"/>
      <c r="I176" s="51"/>
      <c r="J176" s="51"/>
      <c r="K176" s="51"/>
      <c r="L176" s="51"/>
      <c r="M176" s="51"/>
      <c r="N176" s="51"/>
      <c r="O176" s="51"/>
      <c r="P176" s="51"/>
      <c r="Q176" s="51"/>
      <c r="R176" s="51"/>
      <c r="S176" s="51"/>
      <c r="T176" s="51"/>
      <c r="U176" s="51"/>
      <c r="V176" s="51"/>
      <c r="W176" s="51"/>
      <c r="X176" s="51"/>
      <c r="Y176" s="51"/>
      <c r="Z176" s="51"/>
      <c r="AA176" s="51"/>
      <c r="AB176" s="51"/>
      <c r="AC176" s="51"/>
      <c r="AD176" s="51"/>
      <c r="AE176" s="51"/>
    </row>
    <row r="177" spans="2:31" x14ac:dyDescent="0.35">
      <c r="B177" s="51"/>
      <c r="C177" s="51"/>
      <c r="D177" s="51"/>
      <c r="E177" s="51"/>
      <c r="F177" s="51"/>
      <c r="G177" s="51"/>
      <c r="H177" s="51"/>
      <c r="I177" s="51"/>
      <c r="J177" s="51"/>
      <c r="K177" s="51"/>
      <c r="L177" s="51"/>
      <c r="M177" s="51"/>
      <c r="N177" s="51"/>
      <c r="O177" s="51"/>
      <c r="P177" s="51"/>
      <c r="Q177" s="51"/>
      <c r="R177" s="51"/>
      <c r="S177" s="51"/>
      <c r="T177" s="51"/>
      <c r="U177" s="51"/>
      <c r="V177" s="51"/>
      <c r="W177" s="51"/>
      <c r="X177" s="51"/>
      <c r="Y177" s="51"/>
      <c r="Z177" s="51"/>
      <c r="AA177" s="51"/>
      <c r="AB177" s="51"/>
      <c r="AC177" s="51"/>
      <c r="AD177" s="51"/>
      <c r="AE177" s="51"/>
    </row>
    <row r="178" spans="2:31" x14ac:dyDescent="0.35">
      <c r="B178" s="51"/>
      <c r="C178" s="51"/>
      <c r="D178" s="51"/>
      <c r="E178" s="51"/>
      <c r="F178" s="51"/>
      <c r="G178" s="51"/>
      <c r="H178" s="51"/>
      <c r="I178" s="51"/>
      <c r="J178" s="51"/>
      <c r="K178" s="51"/>
      <c r="L178" s="51"/>
      <c r="M178" s="51"/>
      <c r="N178" s="51"/>
      <c r="O178" s="51"/>
      <c r="P178" s="51"/>
      <c r="Q178" s="51"/>
      <c r="R178" s="51"/>
      <c r="S178" s="51"/>
      <c r="T178" s="51"/>
      <c r="U178" s="51"/>
      <c r="V178" s="51"/>
      <c r="W178" s="51"/>
      <c r="X178" s="51"/>
      <c r="Y178" s="51"/>
      <c r="Z178" s="51"/>
      <c r="AA178" s="51"/>
      <c r="AB178" s="51"/>
      <c r="AC178" s="51"/>
      <c r="AD178" s="51"/>
      <c r="AE178" s="51"/>
    </row>
    <row r="179" spans="2:31" x14ac:dyDescent="0.35">
      <c r="B179" s="51"/>
      <c r="C179" s="51"/>
      <c r="D179" s="51"/>
      <c r="E179" s="51"/>
      <c r="F179" s="51"/>
      <c r="G179" s="51"/>
      <c r="H179" s="51"/>
      <c r="I179" s="51"/>
      <c r="J179" s="51"/>
      <c r="K179" s="51"/>
      <c r="L179" s="51"/>
      <c r="M179" s="51"/>
      <c r="N179" s="51"/>
      <c r="O179" s="51"/>
      <c r="P179" s="51"/>
      <c r="Q179" s="51"/>
      <c r="R179" s="51"/>
      <c r="S179" s="51"/>
      <c r="T179" s="51"/>
      <c r="U179" s="51"/>
      <c r="V179" s="51"/>
      <c r="W179" s="51"/>
      <c r="X179" s="51"/>
      <c r="Y179" s="51"/>
      <c r="Z179" s="51"/>
      <c r="AA179" s="51"/>
      <c r="AB179" s="51"/>
      <c r="AC179" s="51"/>
      <c r="AD179" s="51"/>
      <c r="AE179" s="51"/>
    </row>
    <row r="180" spans="2:31" x14ac:dyDescent="0.35">
      <c r="B180" s="51"/>
      <c r="C180" s="51"/>
      <c r="D180" s="51"/>
      <c r="E180" s="51"/>
      <c r="F180" s="51"/>
      <c r="G180" s="51"/>
      <c r="H180" s="51"/>
      <c r="I180" s="51"/>
      <c r="J180" s="51"/>
      <c r="K180" s="51"/>
      <c r="L180" s="51"/>
      <c r="M180" s="51"/>
      <c r="N180" s="51"/>
      <c r="O180" s="51"/>
      <c r="P180" s="51"/>
      <c r="Q180" s="51"/>
      <c r="R180" s="51"/>
      <c r="S180" s="51"/>
      <c r="T180" s="51"/>
      <c r="U180" s="51"/>
      <c r="V180" s="51"/>
      <c r="W180" s="51"/>
      <c r="X180" s="51"/>
      <c r="Y180" s="51"/>
      <c r="Z180" s="51"/>
      <c r="AA180" s="51"/>
      <c r="AB180" s="51"/>
      <c r="AC180" s="51"/>
      <c r="AD180" s="51"/>
      <c r="AE180" s="51"/>
    </row>
    <row r="181" spans="2:31" x14ac:dyDescent="0.35">
      <c r="B181" s="51"/>
      <c r="C181" s="51"/>
      <c r="D181" s="51"/>
      <c r="E181" s="51"/>
      <c r="F181" s="51"/>
      <c r="G181" s="51"/>
      <c r="H181" s="51"/>
      <c r="I181" s="51"/>
      <c r="J181" s="51"/>
      <c r="K181" s="51"/>
      <c r="L181" s="51"/>
      <c r="M181" s="51"/>
      <c r="N181" s="51"/>
      <c r="O181" s="51"/>
      <c r="P181" s="51"/>
      <c r="Q181" s="51"/>
      <c r="R181" s="51"/>
      <c r="S181" s="51"/>
      <c r="T181" s="51"/>
      <c r="U181" s="51"/>
      <c r="V181" s="51"/>
      <c r="W181" s="51"/>
      <c r="X181" s="51"/>
      <c r="Y181" s="51"/>
      <c r="Z181" s="51"/>
      <c r="AA181" s="51"/>
      <c r="AB181" s="51"/>
      <c r="AC181" s="51"/>
      <c r="AD181" s="51"/>
      <c r="AE181" s="51"/>
    </row>
    <row r="182" spans="2:31" x14ac:dyDescent="0.35">
      <c r="B182" s="51"/>
      <c r="C182" s="51"/>
      <c r="D182" s="51"/>
      <c r="E182" s="51"/>
      <c r="F182" s="51"/>
      <c r="G182" s="51"/>
      <c r="H182" s="51"/>
      <c r="I182" s="51"/>
      <c r="J182" s="51"/>
      <c r="K182" s="51"/>
      <c r="L182" s="51"/>
      <c r="M182" s="51"/>
      <c r="N182" s="51"/>
      <c r="O182" s="51"/>
      <c r="P182" s="51"/>
      <c r="Q182" s="51"/>
      <c r="R182" s="51"/>
      <c r="S182" s="51"/>
      <c r="T182" s="51"/>
      <c r="U182" s="51"/>
      <c r="V182" s="51"/>
      <c r="W182" s="51"/>
      <c r="X182" s="51"/>
      <c r="Y182" s="51"/>
      <c r="Z182" s="51"/>
      <c r="AA182" s="51"/>
      <c r="AB182" s="51"/>
      <c r="AC182" s="51"/>
      <c r="AD182" s="51"/>
      <c r="AE182" s="51"/>
    </row>
    <row r="183" spans="2:31" x14ac:dyDescent="0.35">
      <c r="B183" s="51"/>
      <c r="C183" s="51"/>
      <c r="D183" s="51"/>
      <c r="E183" s="51"/>
      <c r="F183" s="51"/>
      <c r="G183" s="51"/>
      <c r="H183" s="51"/>
      <c r="I183" s="51"/>
      <c r="J183" s="51"/>
      <c r="K183" s="51"/>
      <c r="L183" s="51"/>
      <c r="M183" s="51"/>
      <c r="N183" s="51"/>
      <c r="O183" s="51"/>
      <c r="P183" s="51"/>
      <c r="Q183" s="51"/>
      <c r="R183" s="51"/>
      <c r="S183" s="51"/>
      <c r="T183" s="51"/>
      <c r="U183" s="51"/>
      <c r="V183" s="51"/>
      <c r="W183" s="51"/>
      <c r="X183" s="51"/>
      <c r="Y183" s="51"/>
      <c r="Z183" s="51"/>
      <c r="AA183" s="51"/>
      <c r="AB183" s="51"/>
      <c r="AC183" s="51"/>
      <c r="AD183" s="51"/>
      <c r="AE183" s="51"/>
    </row>
    <row r="184" spans="2:31" x14ac:dyDescent="0.35">
      <c r="B184" s="51"/>
      <c r="C184" s="51"/>
      <c r="D184" s="51"/>
      <c r="E184" s="51"/>
      <c r="F184" s="51"/>
      <c r="G184" s="51"/>
      <c r="H184" s="51"/>
      <c r="I184" s="51"/>
      <c r="J184" s="51"/>
      <c r="K184" s="51"/>
      <c r="L184" s="51"/>
      <c r="M184" s="51"/>
      <c r="N184" s="51"/>
      <c r="O184" s="51"/>
      <c r="P184" s="51"/>
      <c r="Q184" s="51"/>
      <c r="R184" s="51"/>
      <c r="S184" s="51"/>
      <c r="T184" s="51"/>
      <c r="U184" s="51"/>
      <c r="V184" s="51"/>
      <c r="W184" s="51"/>
      <c r="X184" s="51"/>
      <c r="Y184" s="51"/>
      <c r="Z184" s="51"/>
      <c r="AA184" s="51"/>
      <c r="AB184" s="51"/>
      <c r="AC184" s="51"/>
      <c r="AD184" s="51"/>
      <c r="AE184" s="51"/>
    </row>
    <row r="185" spans="2:31" x14ac:dyDescent="0.35">
      <c r="B185" s="51"/>
      <c r="C185" s="51"/>
      <c r="D185" s="51"/>
      <c r="E185" s="51"/>
      <c r="F185" s="51"/>
      <c r="G185" s="51"/>
      <c r="H185" s="51"/>
      <c r="I185" s="51"/>
      <c r="J185" s="51"/>
      <c r="K185" s="51"/>
      <c r="L185" s="51"/>
      <c r="M185" s="51"/>
      <c r="N185" s="51"/>
      <c r="O185" s="51"/>
      <c r="P185" s="51"/>
      <c r="Q185" s="51"/>
      <c r="R185" s="51"/>
      <c r="S185" s="51"/>
      <c r="T185" s="51"/>
      <c r="U185" s="51"/>
      <c r="V185" s="51"/>
      <c r="W185" s="51"/>
      <c r="X185" s="51"/>
      <c r="Y185" s="51"/>
      <c r="Z185" s="51"/>
      <c r="AA185" s="51"/>
      <c r="AB185" s="51"/>
      <c r="AC185" s="51"/>
      <c r="AD185" s="51"/>
      <c r="AE185" s="51"/>
    </row>
    <row r="186" spans="2:31" x14ac:dyDescent="0.35">
      <c r="B186" s="51"/>
      <c r="C186" s="51"/>
      <c r="D186" s="51"/>
      <c r="E186" s="51"/>
      <c r="F186" s="51"/>
      <c r="G186" s="51"/>
      <c r="H186" s="51"/>
      <c r="I186" s="51"/>
      <c r="J186" s="51"/>
      <c r="K186" s="51"/>
      <c r="L186" s="51"/>
      <c r="M186" s="51"/>
      <c r="N186" s="51"/>
      <c r="O186" s="51"/>
      <c r="P186" s="51"/>
      <c r="Q186" s="51"/>
      <c r="R186" s="51"/>
      <c r="S186" s="51"/>
      <c r="T186" s="51"/>
      <c r="U186" s="51"/>
      <c r="V186" s="51"/>
      <c r="W186" s="51"/>
      <c r="X186" s="51"/>
      <c r="Y186" s="51"/>
      <c r="Z186" s="51"/>
      <c r="AA186" s="51"/>
      <c r="AB186" s="51"/>
      <c r="AC186" s="51"/>
      <c r="AD186" s="51"/>
      <c r="AE186" s="51"/>
    </row>
    <row r="187" spans="2:31" x14ac:dyDescent="0.35">
      <c r="B187" s="51"/>
      <c r="C187" s="51"/>
      <c r="D187" s="51"/>
      <c r="E187" s="51"/>
      <c r="F187" s="51"/>
      <c r="G187" s="51"/>
      <c r="H187" s="51"/>
      <c r="I187" s="51"/>
      <c r="J187" s="51"/>
      <c r="K187" s="51"/>
      <c r="L187" s="51"/>
      <c r="M187" s="51"/>
      <c r="N187" s="51"/>
      <c r="O187" s="51"/>
      <c r="P187" s="51"/>
      <c r="Q187" s="51"/>
      <c r="R187" s="51"/>
      <c r="S187" s="51"/>
      <c r="T187" s="51"/>
      <c r="U187" s="51"/>
      <c r="V187" s="51"/>
      <c r="W187" s="51"/>
      <c r="X187" s="51"/>
      <c r="Y187" s="51"/>
      <c r="Z187" s="51"/>
      <c r="AA187" s="51"/>
      <c r="AB187" s="51"/>
      <c r="AC187" s="51"/>
      <c r="AD187" s="51"/>
      <c r="AE187" s="51"/>
    </row>
    <row r="188" spans="2:31" x14ac:dyDescent="0.35">
      <c r="B188" s="51"/>
      <c r="C188" s="51"/>
      <c r="D188" s="51"/>
      <c r="E188" s="51"/>
      <c r="F188" s="51"/>
      <c r="G188" s="51"/>
      <c r="H188" s="51"/>
      <c r="I188" s="51"/>
      <c r="J188" s="51"/>
      <c r="K188" s="51"/>
      <c r="L188" s="51"/>
      <c r="M188" s="51"/>
      <c r="N188" s="51"/>
      <c r="O188" s="51"/>
      <c r="P188" s="51"/>
      <c r="Q188" s="51"/>
      <c r="R188" s="51"/>
      <c r="S188" s="51"/>
      <c r="T188" s="51"/>
      <c r="U188" s="51"/>
      <c r="V188" s="51"/>
      <c r="W188" s="51"/>
      <c r="X188" s="51"/>
      <c r="Y188" s="51"/>
      <c r="Z188" s="51"/>
      <c r="AA188" s="51"/>
      <c r="AB188" s="51"/>
      <c r="AC188" s="51"/>
      <c r="AD188" s="51"/>
      <c r="AE188" s="51"/>
    </row>
    <row r="189" spans="2:31" x14ac:dyDescent="0.35">
      <c r="B189" s="51"/>
      <c r="C189" s="51"/>
      <c r="D189" s="51"/>
      <c r="E189" s="51"/>
      <c r="F189" s="51"/>
      <c r="G189" s="51"/>
      <c r="H189" s="51"/>
      <c r="I189" s="51"/>
      <c r="J189" s="51"/>
      <c r="K189" s="51"/>
      <c r="L189" s="51"/>
      <c r="M189" s="51"/>
      <c r="N189" s="51"/>
      <c r="O189" s="51"/>
      <c r="P189" s="51"/>
      <c r="Q189" s="51"/>
      <c r="R189" s="51"/>
      <c r="S189" s="51"/>
      <c r="T189" s="51"/>
      <c r="U189" s="51"/>
      <c r="V189" s="51"/>
      <c r="W189" s="51"/>
      <c r="X189" s="51"/>
      <c r="Y189" s="51"/>
      <c r="Z189" s="51"/>
      <c r="AA189" s="51"/>
      <c r="AB189" s="51"/>
      <c r="AC189" s="51"/>
      <c r="AD189" s="51"/>
      <c r="AE189" s="51"/>
    </row>
    <row r="190" spans="2:31" x14ac:dyDescent="0.35">
      <c r="B190" s="51"/>
      <c r="C190" s="51"/>
      <c r="D190" s="51"/>
      <c r="E190" s="51"/>
      <c r="F190" s="51"/>
      <c r="G190" s="51"/>
      <c r="H190" s="51"/>
      <c r="I190" s="51"/>
      <c r="J190" s="51"/>
      <c r="K190" s="51"/>
      <c r="L190" s="51"/>
      <c r="M190" s="51"/>
      <c r="N190" s="51"/>
      <c r="O190" s="51"/>
      <c r="P190" s="51"/>
      <c r="Q190" s="51"/>
      <c r="R190" s="51"/>
      <c r="S190" s="51"/>
      <c r="T190" s="51"/>
      <c r="U190" s="51"/>
      <c r="V190" s="51"/>
      <c r="W190" s="51"/>
      <c r="X190" s="51"/>
      <c r="Y190" s="51"/>
      <c r="Z190" s="51"/>
      <c r="AA190" s="51"/>
      <c r="AB190" s="51"/>
      <c r="AC190" s="51"/>
      <c r="AD190" s="51"/>
      <c r="AE190" s="51"/>
    </row>
    <row r="191" spans="2:31" x14ac:dyDescent="0.35">
      <c r="B191" s="51"/>
      <c r="C191" s="51"/>
      <c r="D191" s="51"/>
      <c r="E191" s="51"/>
      <c r="F191" s="51"/>
      <c r="G191" s="51"/>
      <c r="H191" s="51"/>
      <c r="I191" s="51"/>
      <c r="J191" s="51"/>
      <c r="K191" s="51"/>
      <c r="L191" s="51"/>
      <c r="M191" s="51"/>
      <c r="N191" s="51"/>
      <c r="O191" s="51"/>
      <c r="P191" s="51"/>
      <c r="Q191" s="51"/>
      <c r="R191" s="51"/>
      <c r="S191" s="51"/>
      <c r="T191" s="51"/>
      <c r="U191" s="51"/>
      <c r="V191" s="51"/>
      <c r="W191" s="51"/>
      <c r="X191" s="51"/>
      <c r="Y191" s="51"/>
      <c r="Z191" s="51"/>
      <c r="AA191" s="51"/>
      <c r="AB191" s="51"/>
      <c r="AC191" s="51"/>
      <c r="AD191" s="51"/>
      <c r="AE191" s="51"/>
    </row>
    <row r="192" spans="2:31" x14ac:dyDescent="0.35">
      <c r="B192" s="51"/>
      <c r="C192" s="51"/>
      <c r="D192" s="51"/>
      <c r="E192" s="51"/>
      <c r="F192" s="51"/>
      <c r="G192" s="51"/>
      <c r="H192" s="51"/>
      <c r="I192" s="51"/>
      <c r="J192" s="51"/>
      <c r="K192" s="51"/>
      <c r="L192" s="51"/>
      <c r="M192" s="51"/>
      <c r="N192" s="51"/>
      <c r="O192" s="51"/>
      <c r="P192" s="51"/>
      <c r="Q192" s="51"/>
      <c r="R192" s="51"/>
      <c r="S192" s="51"/>
      <c r="T192" s="51"/>
      <c r="U192" s="51"/>
      <c r="V192" s="51"/>
      <c r="W192" s="51"/>
      <c r="X192" s="51"/>
      <c r="Y192" s="51"/>
      <c r="Z192" s="51"/>
      <c r="AA192" s="51"/>
      <c r="AB192" s="51"/>
      <c r="AC192" s="51"/>
      <c r="AD192" s="51"/>
      <c r="AE192" s="51"/>
    </row>
    <row r="193" spans="2:31" x14ac:dyDescent="0.35">
      <c r="B193" s="51"/>
      <c r="C193" s="51"/>
      <c r="D193" s="51"/>
      <c r="E193" s="51"/>
      <c r="F193" s="51"/>
      <c r="G193" s="51"/>
      <c r="H193" s="51"/>
      <c r="I193" s="51"/>
      <c r="J193" s="51"/>
      <c r="K193" s="51"/>
      <c r="L193" s="51"/>
      <c r="M193" s="51"/>
      <c r="N193" s="51"/>
      <c r="O193" s="51"/>
      <c r="P193" s="51"/>
      <c r="Q193" s="51"/>
      <c r="R193" s="51"/>
      <c r="S193" s="51"/>
      <c r="T193" s="51"/>
      <c r="U193" s="51"/>
      <c r="V193" s="51"/>
      <c r="W193" s="51"/>
      <c r="X193" s="51"/>
      <c r="Y193" s="51"/>
      <c r="Z193" s="51"/>
      <c r="AA193" s="51"/>
      <c r="AB193" s="51"/>
      <c r="AC193" s="51"/>
      <c r="AD193" s="51"/>
      <c r="AE193" s="51"/>
    </row>
    <row r="194" spans="2:31" x14ac:dyDescent="0.35">
      <c r="B194" s="51"/>
      <c r="C194" s="51"/>
      <c r="D194" s="51"/>
      <c r="E194" s="51"/>
      <c r="F194" s="51"/>
      <c r="G194" s="51"/>
      <c r="H194" s="51"/>
      <c r="I194" s="51"/>
      <c r="J194" s="51"/>
      <c r="K194" s="51"/>
      <c r="L194" s="51"/>
      <c r="M194" s="51"/>
      <c r="N194" s="51"/>
      <c r="O194" s="51"/>
      <c r="P194" s="51"/>
      <c r="Q194" s="51"/>
      <c r="R194" s="51"/>
      <c r="S194" s="51"/>
      <c r="T194" s="51"/>
      <c r="U194" s="51"/>
      <c r="V194" s="51"/>
      <c r="W194" s="51"/>
      <c r="X194" s="51"/>
      <c r="Y194" s="51"/>
      <c r="Z194" s="51"/>
      <c r="AA194" s="51"/>
      <c r="AB194" s="51"/>
      <c r="AC194" s="51"/>
      <c r="AD194" s="51"/>
      <c r="AE194" s="51"/>
    </row>
    <row r="195" spans="2:31" x14ac:dyDescent="0.35">
      <c r="B195" s="51"/>
      <c r="C195" s="51"/>
      <c r="D195" s="51"/>
      <c r="E195" s="51"/>
      <c r="F195" s="51"/>
      <c r="G195" s="51"/>
      <c r="H195" s="51"/>
      <c r="I195" s="51"/>
      <c r="J195" s="51"/>
      <c r="K195" s="51"/>
      <c r="L195" s="51"/>
      <c r="M195" s="51"/>
      <c r="N195" s="51"/>
      <c r="O195" s="51"/>
      <c r="P195" s="51"/>
      <c r="Q195" s="51"/>
      <c r="R195" s="51"/>
      <c r="S195" s="51"/>
      <c r="T195" s="51"/>
      <c r="U195" s="51"/>
      <c r="V195" s="51"/>
      <c r="W195" s="51"/>
      <c r="X195" s="51"/>
      <c r="Y195" s="51"/>
      <c r="Z195" s="51"/>
      <c r="AA195" s="51"/>
      <c r="AB195" s="51"/>
      <c r="AC195" s="51"/>
      <c r="AD195" s="51"/>
      <c r="AE195" s="51"/>
    </row>
    <row r="196" spans="2:31" x14ac:dyDescent="0.35">
      <c r="B196" s="51"/>
      <c r="C196" s="51"/>
      <c r="D196" s="51"/>
      <c r="E196" s="51"/>
      <c r="F196" s="51"/>
      <c r="G196" s="51"/>
      <c r="H196" s="51"/>
      <c r="I196" s="51"/>
      <c r="J196" s="51"/>
      <c r="K196" s="51"/>
      <c r="L196" s="51"/>
      <c r="M196" s="51"/>
      <c r="N196" s="51"/>
      <c r="O196" s="51"/>
      <c r="P196" s="51"/>
      <c r="Q196" s="51"/>
      <c r="R196" s="51"/>
      <c r="S196" s="51"/>
      <c r="T196" s="51"/>
      <c r="U196" s="51"/>
      <c r="V196" s="51"/>
      <c r="W196" s="51"/>
      <c r="X196" s="51"/>
      <c r="Y196" s="51"/>
      <c r="Z196" s="51"/>
      <c r="AA196" s="51"/>
      <c r="AB196" s="51"/>
      <c r="AC196" s="51"/>
      <c r="AD196" s="51"/>
      <c r="AE196" s="51"/>
    </row>
    <row r="197" spans="2:31" x14ac:dyDescent="0.35">
      <c r="B197" s="51"/>
      <c r="C197" s="51"/>
      <c r="D197" s="51"/>
      <c r="E197" s="51"/>
      <c r="F197" s="51"/>
      <c r="G197" s="51"/>
      <c r="H197" s="51"/>
      <c r="I197" s="51"/>
      <c r="J197" s="51"/>
      <c r="K197" s="51"/>
      <c r="L197" s="51"/>
      <c r="M197" s="51"/>
      <c r="N197" s="51"/>
      <c r="O197" s="51"/>
      <c r="P197" s="51"/>
      <c r="Q197" s="51"/>
      <c r="R197" s="51"/>
      <c r="S197" s="51"/>
      <c r="T197" s="51"/>
      <c r="U197" s="51"/>
      <c r="V197" s="51"/>
      <c r="W197" s="51"/>
      <c r="X197" s="51"/>
      <c r="Y197" s="51"/>
      <c r="Z197" s="51"/>
      <c r="AA197" s="51"/>
      <c r="AB197" s="51"/>
      <c r="AC197" s="51"/>
      <c r="AD197" s="51"/>
      <c r="AE197" s="51"/>
    </row>
    <row r="198" spans="2:31" x14ac:dyDescent="0.35">
      <c r="B198" s="51"/>
      <c r="C198" s="51"/>
      <c r="D198" s="51"/>
      <c r="E198" s="51"/>
      <c r="F198" s="51"/>
      <c r="G198" s="51"/>
      <c r="H198" s="51"/>
      <c r="I198" s="51"/>
      <c r="J198" s="51"/>
      <c r="K198" s="51"/>
      <c r="L198" s="51"/>
      <c r="M198" s="51"/>
      <c r="N198" s="51"/>
      <c r="O198" s="51"/>
      <c r="P198" s="51"/>
      <c r="Q198" s="51"/>
      <c r="R198" s="51"/>
      <c r="S198" s="51"/>
      <c r="T198" s="51"/>
      <c r="U198" s="51"/>
      <c r="V198" s="51"/>
      <c r="W198" s="51"/>
      <c r="X198" s="51"/>
      <c r="Y198" s="51"/>
      <c r="Z198" s="51"/>
      <c r="AA198" s="51"/>
      <c r="AB198" s="51"/>
      <c r="AC198" s="51"/>
      <c r="AD198" s="51"/>
      <c r="AE198" s="51"/>
    </row>
    <row r="199" spans="2:31" x14ac:dyDescent="0.35">
      <c r="B199" s="51"/>
      <c r="C199" s="51"/>
      <c r="D199" s="51"/>
      <c r="E199" s="51"/>
      <c r="F199" s="51"/>
      <c r="G199" s="51"/>
      <c r="H199" s="51"/>
      <c r="I199" s="51"/>
      <c r="J199" s="51"/>
      <c r="K199" s="51"/>
      <c r="L199" s="51"/>
      <c r="M199" s="51"/>
      <c r="N199" s="51"/>
      <c r="O199" s="51"/>
      <c r="P199" s="51"/>
      <c r="Q199" s="51"/>
      <c r="R199" s="51"/>
      <c r="S199" s="51"/>
      <c r="T199" s="51"/>
      <c r="U199" s="51"/>
      <c r="V199" s="51"/>
      <c r="W199" s="51"/>
      <c r="X199" s="51"/>
      <c r="Y199" s="51"/>
      <c r="Z199" s="51"/>
      <c r="AA199" s="51"/>
      <c r="AB199" s="51"/>
      <c r="AC199" s="51"/>
      <c r="AD199" s="51"/>
      <c r="AE199" s="51"/>
    </row>
    <row r="200" spans="2:31" x14ac:dyDescent="0.35">
      <c r="B200" s="51"/>
      <c r="C200" s="51"/>
      <c r="D200" s="51"/>
      <c r="E200" s="51"/>
      <c r="F200" s="51"/>
      <c r="G200" s="51"/>
      <c r="H200" s="51"/>
      <c r="I200" s="51"/>
      <c r="J200" s="51"/>
      <c r="K200" s="51"/>
      <c r="L200" s="51"/>
      <c r="M200" s="51"/>
      <c r="N200" s="51"/>
      <c r="O200" s="51"/>
      <c r="P200" s="51"/>
      <c r="Q200" s="51"/>
      <c r="R200" s="51"/>
      <c r="S200" s="51"/>
      <c r="T200" s="51"/>
      <c r="U200" s="51"/>
      <c r="V200" s="51"/>
      <c r="W200" s="51"/>
      <c r="X200" s="51"/>
      <c r="Y200" s="51"/>
      <c r="Z200" s="51"/>
      <c r="AA200" s="51"/>
      <c r="AB200" s="51"/>
      <c r="AC200" s="51"/>
      <c r="AD200" s="51"/>
      <c r="AE200" s="51"/>
    </row>
    <row r="201" spans="2:31" x14ac:dyDescent="0.35">
      <c r="B201" s="51"/>
      <c r="C201" s="51"/>
      <c r="D201" s="51"/>
      <c r="E201" s="51"/>
      <c r="F201" s="51"/>
      <c r="G201" s="51"/>
      <c r="H201" s="51"/>
      <c r="I201" s="51"/>
      <c r="J201" s="51"/>
      <c r="K201" s="51"/>
      <c r="L201" s="51"/>
      <c r="M201" s="51"/>
      <c r="N201" s="51"/>
      <c r="O201" s="51"/>
      <c r="P201" s="51"/>
      <c r="Q201" s="51"/>
      <c r="R201" s="51"/>
      <c r="S201" s="51"/>
      <c r="T201" s="51"/>
      <c r="U201" s="51"/>
      <c r="V201" s="51"/>
      <c r="W201" s="51"/>
      <c r="X201" s="51"/>
      <c r="Y201" s="51"/>
      <c r="Z201" s="51"/>
      <c r="AA201" s="51"/>
      <c r="AB201" s="51"/>
      <c r="AC201" s="51"/>
      <c r="AD201" s="51"/>
      <c r="AE201" s="51"/>
    </row>
    <row r="202" spans="2:31" x14ac:dyDescent="0.35">
      <c r="B202" s="51"/>
      <c r="C202" s="51"/>
      <c r="D202" s="51"/>
      <c r="E202" s="51"/>
      <c r="F202" s="51"/>
      <c r="G202" s="51"/>
      <c r="H202" s="51"/>
      <c r="I202" s="51"/>
      <c r="J202" s="51"/>
      <c r="K202" s="51"/>
      <c r="L202" s="51"/>
      <c r="M202" s="51"/>
      <c r="N202" s="51"/>
      <c r="O202" s="51"/>
      <c r="P202" s="51"/>
      <c r="Q202" s="51"/>
      <c r="R202" s="51"/>
      <c r="S202" s="51"/>
      <c r="T202" s="51"/>
      <c r="U202" s="51"/>
      <c r="V202" s="51"/>
      <c r="W202" s="51"/>
      <c r="X202" s="51"/>
      <c r="Y202" s="51"/>
      <c r="Z202" s="51"/>
      <c r="AA202" s="51"/>
      <c r="AB202" s="51"/>
      <c r="AC202" s="51"/>
      <c r="AD202" s="51"/>
      <c r="AE202" s="51"/>
    </row>
    <row r="203" spans="2:31" x14ac:dyDescent="0.35">
      <c r="B203" s="51"/>
      <c r="C203" s="51"/>
      <c r="D203" s="51"/>
      <c r="E203" s="51"/>
      <c r="F203" s="51"/>
      <c r="G203" s="51"/>
      <c r="H203" s="51"/>
      <c r="I203" s="51"/>
      <c r="J203" s="51"/>
      <c r="K203" s="51"/>
      <c r="L203" s="51"/>
      <c r="M203" s="51"/>
      <c r="N203" s="51"/>
      <c r="O203" s="51"/>
      <c r="P203" s="51"/>
      <c r="Q203" s="51"/>
      <c r="R203" s="51"/>
      <c r="S203" s="51"/>
      <c r="T203" s="51"/>
      <c r="U203" s="51"/>
      <c r="V203" s="51"/>
      <c r="W203" s="51"/>
      <c r="X203" s="51"/>
      <c r="Y203" s="51"/>
      <c r="Z203" s="51"/>
      <c r="AA203" s="51"/>
      <c r="AB203" s="51"/>
      <c r="AC203" s="51"/>
      <c r="AD203" s="51"/>
      <c r="AE203" s="51"/>
    </row>
    <row r="204" spans="2:31" x14ac:dyDescent="0.35">
      <c r="B204" s="51"/>
      <c r="C204" s="51"/>
      <c r="D204" s="51"/>
      <c r="E204" s="51"/>
      <c r="F204" s="51"/>
      <c r="G204" s="51"/>
      <c r="H204" s="51"/>
      <c r="I204" s="51"/>
      <c r="J204" s="51"/>
      <c r="K204" s="51"/>
      <c r="L204" s="51"/>
      <c r="M204" s="51"/>
      <c r="N204" s="51"/>
      <c r="O204" s="51"/>
      <c r="P204" s="51"/>
      <c r="Q204" s="51"/>
      <c r="R204" s="51"/>
      <c r="S204" s="51"/>
      <c r="T204" s="51"/>
      <c r="U204" s="51"/>
      <c r="V204" s="51"/>
      <c r="W204" s="51"/>
      <c r="X204" s="51"/>
      <c r="Y204" s="51"/>
      <c r="Z204" s="51"/>
      <c r="AA204" s="51"/>
      <c r="AB204" s="51"/>
      <c r="AC204" s="51"/>
      <c r="AD204" s="51"/>
      <c r="AE204" s="51"/>
    </row>
    <row r="205" spans="2:31" x14ac:dyDescent="0.35">
      <c r="B205" s="51"/>
      <c r="C205" s="51"/>
      <c r="D205" s="51"/>
      <c r="E205" s="51"/>
      <c r="F205" s="51"/>
      <c r="G205" s="51"/>
      <c r="H205" s="51"/>
      <c r="I205" s="51"/>
      <c r="J205" s="51"/>
      <c r="K205" s="51"/>
      <c r="L205" s="51"/>
      <c r="M205" s="51"/>
      <c r="N205" s="51"/>
      <c r="O205" s="51"/>
      <c r="P205" s="51"/>
      <c r="Q205" s="51"/>
      <c r="R205" s="51"/>
      <c r="S205" s="51"/>
      <c r="T205" s="51"/>
      <c r="U205" s="51"/>
      <c r="V205" s="51"/>
      <c r="W205" s="51"/>
      <c r="X205" s="51"/>
      <c r="Y205" s="51"/>
      <c r="Z205" s="51"/>
      <c r="AA205" s="51"/>
      <c r="AB205" s="51"/>
      <c r="AC205" s="51"/>
      <c r="AD205" s="51"/>
      <c r="AE205" s="51"/>
    </row>
    <row r="206" spans="2:31" x14ac:dyDescent="0.35">
      <c r="B206" s="51"/>
      <c r="C206" s="51"/>
      <c r="D206" s="51"/>
      <c r="E206" s="51"/>
      <c r="F206" s="51"/>
      <c r="G206" s="51"/>
      <c r="H206" s="51"/>
      <c r="I206" s="51"/>
      <c r="J206" s="51"/>
      <c r="K206" s="51"/>
      <c r="L206" s="51"/>
      <c r="M206" s="51"/>
      <c r="N206" s="51"/>
      <c r="O206" s="51"/>
      <c r="P206" s="51"/>
      <c r="Q206" s="51"/>
      <c r="R206" s="51"/>
      <c r="S206" s="51"/>
      <c r="T206" s="51"/>
      <c r="U206" s="51"/>
      <c r="V206" s="51"/>
      <c r="W206" s="51"/>
      <c r="X206" s="51"/>
      <c r="Y206" s="51"/>
      <c r="Z206" s="51"/>
      <c r="AA206" s="51"/>
      <c r="AB206" s="51"/>
      <c r="AC206" s="51"/>
      <c r="AD206" s="51"/>
      <c r="AE206" s="51"/>
    </row>
    <row r="207" spans="2:31" x14ac:dyDescent="0.35">
      <c r="B207" s="51"/>
      <c r="C207" s="51"/>
      <c r="D207" s="51"/>
      <c r="E207" s="51"/>
      <c r="F207" s="51"/>
      <c r="G207" s="51"/>
      <c r="H207" s="51"/>
      <c r="I207" s="51"/>
      <c r="J207" s="51"/>
      <c r="K207" s="51"/>
      <c r="L207" s="51"/>
      <c r="M207" s="51"/>
      <c r="N207" s="51"/>
      <c r="O207" s="51"/>
      <c r="P207" s="51"/>
      <c r="Q207" s="51"/>
      <c r="R207" s="51"/>
      <c r="S207" s="51"/>
      <c r="T207" s="51"/>
      <c r="U207" s="51"/>
      <c r="V207" s="51"/>
      <c r="W207" s="51"/>
      <c r="X207" s="51"/>
      <c r="Y207" s="51"/>
      <c r="Z207" s="51"/>
      <c r="AA207" s="51"/>
      <c r="AB207" s="51"/>
      <c r="AC207" s="51"/>
      <c r="AD207" s="51"/>
      <c r="AE207" s="51"/>
    </row>
    <row r="208" spans="2:31" x14ac:dyDescent="0.35">
      <c r="B208" s="51"/>
      <c r="C208" s="51"/>
      <c r="D208" s="51"/>
      <c r="E208" s="51"/>
      <c r="F208" s="51"/>
      <c r="G208" s="51"/>
      <c r="H208" s="51"/>
      <c r="I208" s="51"/>
      <c r="J208" s="51"/>
      <c r="K208" s="51"/>
      <c r="L208" s="51"/>
      <c r="M208" s="51"/>
      <c r="N208" s="51"/>
      <c r="O208" s="51"/>
      <c r="P208" s="51"/>
      <c r="Q208" s="51"/>
      <c r="R208" s="51"/>
      <c r="S208" s="51"/>
      <c r="T208" s="51"/>
      <c r="U208" s="51"/>
      <c r="V208" s="51"/>
      <c r="W208" s="51"/>
      <c r="X208" s="51"/>
      <c r="Y208" s="51"/>
      <c r="Z208" s="51"/>
      <c r="AA208" s="51"/>
      <c r="AB208" s="51"/>
      <c r="AC208" s="51"/>
      <c r="AD208" s="51"/>
      <c r="AE208" s="51"/>
    </row>
    <row r="209" spans="2:31" x14ac:dyDescent="0.35">
      <c r="B209" s="51"/>
      <c r="C209" s="51"/>
      <c r="D209" s="51"/>
      <c r="E209" s="51"/>
      <c r="F209" s="51"/>
      <c r="G209" s="51"/>
      <c r="H209" s="51"/>
      <c r="I209" s="51"/>
      <c r="J209" s="51"/>
      <c r="K209" s="51"/>
      <c r="L209" s="51"/>
      <c r="M209" s="51"/>
      <c r="N209" s="51"/>
      <c r="O209" s="51"/>
      <c r="P209" s="51"/>
      <c r="Q209" s="51"/>
      <c r="R209" s="51"/>
      <c r="S209" s="51"/>
      <c r="T209" s="51"/>
      <c r="U209" s="51"/>
      <c r="V209" s="51"/>
      <c r="W209" s="51"/>
      <c r="X209" s="51"/>
      <c r="Y209" s="51"/>
      <c r="Z209" s="51"/>
      <c r="AA209" s="51"/>
      <c r="AB209" s="51"/>
      <c r="AC209" s="51"/>
      <c r="AD209" s="51"/>
      <c r="AE209" s="51"/>
    </row>
    <row r="210" spans="2:31" x14ac:dyDescent="0.35">
      <c r="B210" s="51"/>
      <c r="C210" s="51"/>
      <c r="D210" s="51"/>
      <c r="E210" s="51"/>
      <c r="F210" s="51"/>
      <c r="G210" s="51"/>
      <c r="H210" s="51"/>
      <c r="I210" s="51"/>
      <c r="J210" s="51"/>
      <c r="K210" s="51"/>
      <c r="L210" s="51"/>
      <c r="M210" s="51"/>
      <c r="N210" s="51"/>
      <c r="O210" s="51"/>
      <c r="P210" s="51"/>
      <c r="Q210" s="51"/>
      <c r="R210" s="51"/>
      <c r="S210" s="51"/>
      <c r="T210" s="51"/>
      <c r="U210" s="51"/>
      <c r="V210" s="51"/>
      <c r="W210" s="51"/>
      <c r="X210" s="51"/>
      <c r="Y210" s="51"/>
      <c r="Z210" s="51"/>
      <c r="AA210" s="51"/>
      <c r="AB210" s="51"/>
      <c r="AC210" s="51"/>
      <c r="AD210" s="51"/>
      <c r="AE210" s="51"/>
    </row>
    <row r="211" spans="2:31" x14ac:dyDescent="0.35">
      <c r="B211" s="51"/>
      <c r="C211" s="51"/>
      <c r="D211" s="51"/>
      <c r="E211" s="51"/>
      <c r="F211" s="51"/>
      <c r="G211" s="51"/>
      <c r="H211" s="51"/>
      <c r="I211" s="51"/>
      <c r="J211" s="51"/>
      <c r="K211" s="51"/>
      <c r="L211" s="51"/>
      <c r="M211" s="51"/>
      <c r="N211" s="51"/>
      <c r="O211" s="51"/>
      <c r="P211" s="51"/>
      <c r="Q211" s="51"/>
      <c r="R211" s="51"/>
      <c r="S211" s="51"/>
      <c r="T211" s="51"/>
      <c r="U211" s="51"/>
      <c r="V211" s="51"/>
      <c r="W211" s="51"/>
      <c r="X211" s="51"/>
      <c r="Y211" s="51"/>
      <c r="Z211" s="51"/>
      <c r="AA211" s="51"/>
      <c r="AB211" s="51"/>
      <c r="AC211" s="51"/>
      <c r="AD211" s="51"/>
      <c r="AE211" s="51"/>
    </row>
    <row r="212" spans="2:31" x14ac:dyDescent="0.35">
      <c r="B212" s="51"/>
      <c r="C212" s="51"/>
      <c r="D212" s="51"/>
      <c r="E212" s="51"/>
      <c r="F212" s="51"/>
      <c r="G212" s="51"/>
      <c r="H212" s="51"/>
      <c r="I212" s="51"/>
      <c r="J212" s="51"/>
      <c r="K212" s="51"/>
      <c r="L212" s="51"/>
      <c r="M212" s="51"/>
      <c r="N212" s="51"/>
      <c r="O212" s="51"/>
      <c r="P212" s="51"/>
      <c r="Q212" s="51"/>
      <c r="R212" s="51"/>
      <c r="S212" s="51"/>
      <c r="T212" s="51"/>
      <c r="U212" s="51"/>
      <c r="V212" s="51"/>
      <c r="W212" s="51"/>
      <c r="X212" s="51"/>
      <c r="Y212" s="51"/>
      <c r="Z212" s="51"/>
      <c r="AA212" s="51"/>
      <c r="AB212" s="51"/>
      <c r="AC212" s="51"/>
      <c r="AD212" s="51"/>
      <c r="AE212" s="51"/>
    </row>
    <row r="213" spans="2:31" x14ac:dyDescent="0.35">
      <c r="B213" s="51"/>
      <c r="C213" s="51"/>
      <c r="D213" s="51"/>
      <c r="E213" s="51"/>
      <c r="F213" s="51"/>
      <c r="G213" s="51"/>
      <c r="H213" s="51"/>
      <c r="I213" s="51"/>
      <c r="J213" s="51"/>
      <c r="K213" s="51"/>
      <c r="L213" s="51"/>
      <c r="M213" s="51"/>
      <c r="N213" s="51"/>
      <c r="O213" s="51"/>
      <c r="P213" s="51"/>
      <c r="Q213" s="51"/>
      <c r="R213" s="51"/>
      <c r="S213" s="51"/>
      <c r="T213" s="51"/>
      <c r="U213" s="51"/>
      <c r="V213" s="51"/>
      <c r="W213" s="51"/>
      <c r="X213" s="51"/>
      <c r="Y213" s="51"/>
      <c r="Z213" s="51"/>
      <c r="AA213" s="51"/>
      <c r="AB213" s="51"/>
      <c r="AC213" s="51"/>
      <c r="AD213" s="51"/>
      <c r="AE213" s="51"/>
    </row>
    <row r="214" spans="2:31" x14ac:dyDescent="0.35">
      <c r="B214" s="51"/>
      <c r="C214" s="51"/>
      <c r="D214" s="51"/>
      <c r="E214" s="51"/>
      <c r="F214" s="51"/>
      <c r="G214" s="51"/>
      <c r="H214" s="51"/>
      <c r="I214" s="51"/>
      <c r="J214" s="51"/>
      <c r="K214" s="51"/>
      <c r="L214" s="51"/>
      <c r="M214" s="51"/>
      <c r="N214" s="51"/>
      <c r="O214" s="51"/>
      <c r="P214" s="51"/>
      <c r="Q214" s="51"/>
      <c r="R214" s="51"/>
      <c r="S214" s="51"/>
      <c r="T214" s="51"/>
      <c r="U214" s="51"/>
      <c r="V214" s="51"/>
      <c r="W214" s="51"/>
      <c r="X214" s="51"/>
      <c r="Y214" s="51"/>
      <c r="Z214" s="51"/>
      <c r="AA214" s="51"/>
      <c r="AB214" s="51"/>
      <c r="AC214" s="51"/>
      <c r="AD214" s="51"/>
      <c r="AE214" s="51"/>
    </row>
    <row r="215" spans="2:31" x14ac:dyDescent="0.35">
      <c r="B215" s="51"/>
      <c r="C215" s="51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51"/>
      <c r="P215" s="51"/>
      <c r="Q215" s="51"/>
      <c r="R215" s="51"/>
      <c r="S215" s="51"/>
      <c r="T215" s="51"/>
      <c r="U215" s="51"/>
      <c r="V215" s="51"/>
      <c r="W215" s="51"/>
      <c r="X215" s="51"/>
      <c r="Y215" s="51"/>
      <c r="Z215" s="51"/>
      <c r="AA215" s="51"/>
      <c r="AB215" s="51"/>
      <c r="AC215" s="51"/>
      <c r="AD215" s="51"/>
      <c r="AE215" s="51"/>
    </row>
    <row r="216" spans="2:31" x14ac:dyDescent="0.35">
      <c r="B216" s="51"/>
      <c r="C216" s="51"/>
      <c r="D216" s="51"/>
      <c r="E216" s="51"/>
      <c r="F216" s="51"/>
      <c r="G216" s="51"/>
      <c r="H216" s="51"/>
      <c r="I216" s="51"/>
      <c r="J216" s="51"/>
      <c r="K216" s="51"/>
      <c r="L216" s="51"/>
      <c r="M216" s="51"/>
      <c r="N216" s="51"/>
      <c r="O216" s="51"/>
      <c r="P216" s="51"/>
      <c r="Q216" s="51"/>
      <c r="R216" s="51"/>
      <c r="S216" s="51"/>
      <c r="T216" s="51"/>
      <c r="U216" s="51"/>
      <c r="V216" s="51"/>
      <c r="W216" s="51"/>
      <c r="X216" s="51"/>
      <c r="Y216" s="51"/>
      <c r="Z216" s="51"/>
      <c r="AA216" s="51"/>
      <c r="AB216" s="51"/>
      <c r="AC216" s="51"/>
      <c r="AD216" s="51"/>
      <c r="AE216" s="51"/>
    </row>
    <row r="217" spans="2:31" x14ac:dyDescent="0.35">
      <c r="B217" s="51"/>
      <c r="C217" s="51"/>
      <c r="D217" s="51"/>
      <c r="E217" s="51"/>
      <c r="F217" s="51"/>
      <c r="G217" s="51"/>
      <c r="H217" s="51"/>
      <c r="I217" s="51"/>
      <c r="J217" s="51"/>
      <c r="K217" s="51"/>
      <c r="L217" s="51"/>
      <c r="M217" s="51"/>
      <c r="N217" s="51"/>
      <c r="O217" s="51"/>
      <c r="P217" s="51"/>
      <c r="Q217" s="51"/>
      <c r="R217" s="51"/>
      <c r="S217" s="51"/>
      <c r="T217" s="51"/>
      <c r="U217" s="51"/>
      <c r="V217" s="51"/>
      <c r="W217" s="51"/>
      <c r="X217" s="51"/>
      <c r="Y217" s="51"/>
      <c r="Z217" s="51"/>
      <c r="AA217" s="51"/>
      <c r="AB217" s="51"/>
      <c r="AC217" s="51"/>
      <c r="AD217" s="51"/>
      <c r="AE217" s="51"/>
    </row>
    <row r="218" spans="2:31" x14ac:dyDescent="0.35">
      <c r="B218" s="51"/>
      <c r="C218" s="51"/>
      <c r="D218" s="51"/>
      <c r="E218" s="51"/>
      <c r="F218" s="51"/>
      <c r="G218" s="51"/>
      <c r="H218" s="51"/>
      <c r="I218" s="51"/>
      <c r="J218" s="51"/>
      <c r="K218" s="51"/>
      <c r="L218" s="51"/>
      <c r="M218" s="51"/>
      <c r="N218" s="51"/>
      <c r="O218" s="51"/>
      <c r="P218" s="51"/>
      <c r="Q218" s="51"/>
      <c r="R218" s="51"/>
      <c r="S218" s="51"/>
      <c r="T218" s="51"/>
      <c r="U218" s="51"/>
      <c r="V218" s="51"/>
      <c r="W218" s="51"/>
      <c r="X218" s="51"/>
      <c r="Y218" s="51"/>
      <c r="Z218" s="51"/>
      <c r="AA218" s="51"/>
      <c r="AB218" s="51"/>
      <c r="AC218" s="51"/>
      <c r="AD218" s="51"/>
      <c r="AE218" s="51"/>
    </row>
    <row r="219" spans="2:31" x14ac:dyDescent="0.35"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</row>
    <row r="220" spans="2:31" x14ac:dyDescent="0.35">
      <c r="B220" s="51"/>
      <c r="C220" s="51"/>
      <c r="D220" s="51"/>
      <c r="E220" s="51"/>
      <c r="F220" s="51"/>
      <c r="G220" s="51"/>
      <c r="H220" s="51"/>
      <c r="I220" s="51"/>
      <c r="J220" s="51"/>
      <c r="K220" s="51"/>
      <c r="L220" s="51"/>
      <c r="M220" s="51"/>
      <c r="N220" s="51"/>
      <c r="O220" s="51"/>
      <c r="P220" s="51"/>
      <c r="Q220" s="51"/>
      <c r="R220" s="51"/>
      <c r="S220" s="51"/>
      <c r="T220" s="51"/>
      <c r="U220" s="51"/>
      <c r="V220" s="51"/>
      <c r="W220" s="51"/>
      <c r="X220" s="51"/>
      <c r="Y220" s="51"/>
      <c r="Z220" s="51"/>
      <c r="AA220" s="51"/>
      <c r="AB220" s="51"/>
      <c r="AC220" s="51"/>
      <c r="AD220" s="51"/>
      <c r="AE220" s="51"/>
    </row>
    <row r="221" spans="2:31" x14ac:dyDescent="0.35">
      <c r="B221" s="51"/>
      <c r="C221" s="51"/>
      <c r="D221" s="51"/>
      <c r="E221" s="51"/>
      <c r="F221" s="51"/>
      <c r="G221" s="51"/>
      <c r="H221" s="51"/>
      <c r="I221" s="51"/>
      <c r="J221" s="51"/>
      <c r="K221" s="51"/>
      <c r="L221" s="51"/>
      <c r="M221" s="51"/>
      <c r="N221" s="51"/>
      <c r="O221" s="51"/>
      <c r="P221" s="51"/>
      <c r="Q221" s="51"/>
      <c r="R221" s="51"/>
      <c r="S221" s="51"/>
      <c r="T221" s="51"/>
      <c r="U221" s="51"/>
      <c r="V221" s="51"/>
      <c r="W221" s="51"/>
      <c r="X221" s="51"/>
      <c r="Y221" s="51"/>
      <c r="Z221" s="51"/>
      <c r="AA221" s="51"/>
      <c r="AB221" s="51"/>
      <c r="AC221" s="51"/>
      <c r="AD221" s="51"/>
      <c r="AE221" s="51"/>
    </row>
    <row r="222" spans="2:31" x14ac:dyDescent="0.35">
      <c r="B222" s="51"/>
      <c r="C222" s="51"/>
      <c r="D222" s="51"/>
      <c r="E222" s="51"/>
      <c r="F222" s="51"/>
      <c r="G222" s="51"/>
      <c r="H222" s="51"/>
      <c r="I222" s="51"/>
      <c r="J222" s="51"/>
      <c r="K222" s="51"/>
      <c r="L222" s="51"/>
      <c r="M222" s="51"/>
      <c r="N222" s="51"/>
      <c r="O222" s="51"/>
      <c r="P222" s="51"/>
      <c r="Q222" s="51"/>
      <c r="R222" s="51"/>
      <c r="S222" s="51"/>
      <c r="T222" s="51"/>
      <c r="U222" s="51"/>
      <c r="V222" s="51"/>
      <c r="W222" s="51"/>
      <c r="X222" s="51"/>
      <c r="Y222" s="51"/>
      <c r="Z222" s="51"/>
      <c r="AA222" s="51"/>
      <c r="AB222" s="51"/>
      <c r="AC222" s="51"/>
      <c r="AD222" s="51"/>
      <c r="AE222" s="51"/>
    </row>
    <row r="223" spans="2:31" x14ac:dyDescent="0.35">
      <c r="B223" s="51"/>
      <c r="C223" s="51"/>
      <c r="D223" s="51"/>
      <c r="E223" s="51"/>
      <c r="F223" s="51"/>
      <c r="G223" s="51"/>
      <c r="H223" s="51"/>
      <c r="I223" s="51"/>
      <c r="J223" s="51"/>
      <c r="K223" s="51"/>
      <c r="L223" s="51"/>
      <c r="M223" s="51"/>
      <c r="N223" s="51"/>
      <c r="O223" s="51"/>
      <c r="P223" s="51"/>
      <c r="Q223" s="51"/>
      <c r="R223" s="51"/>
      <c r="S223" s="51"/>
      <c r="T223" s="51"/>
      <c r="U223" s="51"/>
      <c r="V223" s="51"/>
      <c r="W223" s="51"/>
      <c r="X223" s="51"/>
      <c r="Y223" s="51"/>
      <c r="Z223" s="51"/>
      <c r="AA223" s="51"/>
      <c r="AB223" s="51"/>
      <c r="AC223" s="51"/>
      <c r="AD223" s="51"/>
      <c r="AE223" s="51"/>
    </row>
    <row r="224" spans="2:31" x14ac:dyDescent="0.35">
      <c r="B224" s="51"/>
      <c r="C224" s="51"/>
      <c r="D224" s="51"/>
      <c r="E224" s="51"/>
      <c r="F224" s="51"/>
      <c r="G224" s="51"/>
      <c r="H224" s="51"/>
      <c r="I224" s="51"/>
      <c r="J224" s="51"/>
      <c r="K224" s="51"/>
      <c r="L224" s="51"/>
      <c r="M224" s="51"/>
      <c r="N224" s="51"/>
      <c r="O224" s="51"/>
      <c r="P224" s="51"/>
      <c r="Q224" s="51"/>
      <c r="R224" s="51"/>
      <c r="S224" s="51"/>
      <c r="T224" s="51"/>
      <c r="U224" s="51"/>
      <c r="V224" s="51"/>
      <c r="W224" s="51"/>
      <c r="X224" s="51"/>
      <c r="Y224" s="51"/>
      <c r="Z224" s="51"/>
      <c r="AA224" s="51"/>
      <c r="AB224" s="51"/>
      <c r="AC224" s="51"/>
      <c r="AD224" s="51"/>
      <c r="AE224" s="51"/>
    </row>
    <row r="225" spans="2:31" x14ac:dyDescent="0.35">
      <c r="B225" s="51"/>
      <c r="C225" s="51"/>
      <c r="D225" s="51"/>
      <c r="E225" s="51"/>
      <c r="F225" s="51"/>
      <c r="G225" s="51"/>
      <c r="H225" s="51"/>
      <c r="I225" s="51"/>
      <c r="J225" s="51"/>
      <c r="K225" s="51"/>
      <c r="L225" s="51"/>
      <c r="M225" s="51"/>
      <c r="N225" s="51"/>
      <c r="O225" s="51"/>
      <c r="P225" s="51"/>
      <c r="Q225" s="51"/>
      <c r="R225" s="51"/>
      <c r="S225" s="51"/>
      <c r="T225" s="51"/>
      <c r="U225" s="51"/>
      <c r="V225" s="51"/>
      <c r="W225" s="51"/>
      <c r="X225" s="51"/>
      <c r="Y225" s="51"/>
      <c r="Z225" s="51"/>
      <c r="AA225" s="51"/>
      <c r="AB225" s="51"/>
      <c r="AC225" s="51"/>
      <c r="AD225" s="51"/>
      <c r="AE225" s="51"/>
    </row>
    <row r="226" spans="2:31" x14ac:dyDescent="0.35">
      <c r="B226" s="51"/>
      <c r="C226" s="51"/>
      <c r="D226" s="51"/>
      <c r="E226" s="51"/>
      <c r="F226" s="51"/>
      <c r="G226" s="51"/>
      <c r="H226" s="51"/>
      <c r="I226" s="51"/>
      <c r="J226" s="51"/>
      <c r="K226" s="51"/>
      <c r="L226" s="51"/>
      <c r="M226" s="51"/>
      <c r="N226" s="51"/>
      <c r="O226" s="51"/>
      <c r="P226" s="51"/>
      <c r="Q226" s="51"/>
      <c r="R226" s="51"/>
      <c r="S226" s="51"/>
      <c r="T226" s="51"/>
      <c r="U226" s="51"/>
      <c r="V226" s="51"/>
      <c r="W226" s="51"/>
      <c r="X226" s="51"/>
      <c r="Y226" s="51"/>
      <c r="Z226" s="51"/>
      <c r="AA226" s="51"/>
      <c r="AB226" s="51"/>
      <c r="AC226" s="51"/>
      <c r="AD226" s="51"/>
      <c r="AE226" s="51"/>
    </row>
    <row r="227" spans="2:31" x14ac:dyDescent="0.35">
      <c r="B227" s="51"/>
      <c r="C227" s="51"/>
      <c r="D227" s="51"/>
      <c r="E227" s="51"/>
      <c r="F227" s="51"/>
      <c r="G227" s="51"/>
      <c r="H227" s="51"/>
      <c r="I227" s="51"/>
      <c r="J227" s="51"/>
      <c r="K227" s="51"/>
      <c r="L227" s="51"/>
      <c r="M227" s="51"/>
      <c r="N227" s="51"/>
      <c r="O227" s="51"/>
      <c r="P227" s="51"/>
      <c r="Q227" s="51"/>
      <c r="R227" s="51"/>
      <c r="S227" s="51"/>
      <c r="T227" s="51"/>
      <c r="U227" s="51"/>
      <c r="V227" s="51"/>
      <c r="W227" s="51"/>
      <c r="X227" s="51"/>
      <c r="Y227" s="51"/>
      <c r="Z227" s="51"/>
      <c r="AA227" s="51"/>
      <c r="AB227" s="51"/>
      <c r="AC227" s="51"/>
      <c r="AD227" s="51"/>
      <c r="AE227" s="51"/>
    </row>
    <row r="228" spans="2:31" x14ac:dyDescent="0.35">
      <c r="B228" s="51"/>
      <c r="C228" s="51"/>
      <c r="D228" s="51"/>
      <c r="E228" s="51"/>
      <c r="F228" s="51"/>
      <c r="G228" s="51"/>
      <c r="H228" s="51"/>
      <c r="I228" s="51"/>
      <c r="J228" s="51"/>
      <c r="K228" s="51"/>
      <c r="L228" s="51"/>
      <c r="M228" s="51"/>
      <c r="N228" s="51"/>
      <c r="O228" s="51"/>
      <c r="P228" s="51"/>
      <c r="Q228" s="51"/>
      <c r="R228" s="51"/>
      <c r="S228" s="51"/>
      <c r="T228" s="51"/>
      <c r="U228" s="51"/>
      <c r="V228" s="51"/>
      <c r="W228" s="51"/>
      <c r="X228" s="51"/>
      <c r="Y228" s="51"/>
      <c r="Z228" s="51"/>
      <c r="AA228" s="51"/>
      <c r="AB228" s="51"/>
      <c r="AC228" s="51"/>
      <c r="AD228" s="51"/>
      <c r="AE228" s="51"/>
    </row>
    <row r="229" spans="2:31" x14ac:dyDescent="0.35">
      <c r="B229" s="51"/>
      <c r="C229" s="51"/>
      <c r="D229" s="51"/>
      <c r="E229" s="51"/>
      <c r="F229" s="51"/>
      <c r="G229" s="51"/>
      <c r="H229" s="51"/>
      <c r="I229" s="51"/>
      <c r="J229" s="51"/>
      <c r="K229" s="51"/>
      <c r="L229" s="51"/>
      <c r="M229" s="51"/>
      <c r="N229" s="51"/>
      <c r="O229" s="51"/>
      <c r="P229" s="51"/>
      <c r="Q229" s="51"/>
      <c r="R229" s="51"/>
      <c r="S229" s="51"/>
      <c r="T229" s="51"/>
      <c r="U229" s="51"/>
      <c r="V229" s="51"/>
      <c r="W229" s="51"/>
      <c r="X229" s="51"/>
      <c r="Y229" s="51"/>
      <c r="Z229" s="51"/>
      <c r="AA229" s="51"/>
      <c r="AB229" s="51"/>
      <c r="AC229" s="51"/>
      <c r="AD229" s="51"/>
      <c r="AE229" s="51"/>
    </row>
    <row r="230" spans="2:31" x14ac:dyDescent="0.35">
      <c r="B230" s="51"/>
      <c r="C230" s="51"/>
      <c r="D230" s="51"/>
      <c r="E230" s="51"/>
      <c r="F230" s="51"/>
      <c r="G230" s="51"/>
      <c r="H230" s="51"/>
      <c r="I230" s="51"/>
      <c r="J230" s="51"/>
      <c r="K230" s="51"/>
      <c r="L230" s="51"/>
      <c r="M230" s="51"/>
      <c r="N230" s="51"/>
      <c r="O230" s="51"/>
      <c r="P230" s="51"/>
      <c r="Q230" s="51"/>
      <c r="R230" s="51"/>
      <c r="S230" s="51"/>
      <c r="T230" s="51"/>
      <c r="U230" s="51"/>
      <c r="V230" s="51"/>
      <c r="W230" s="51"/>
      <c r="X230" s="51"/>
      <c r="Y230" s="51"/>
      <c r="Z230" s="51"/>
      <c r="AA230" s="51"/>
      <c r="AB230" s="51"/>
      <c r="AC230" s="51"/>
      <c r="AD230" s="51"/>
      <c r="AE230" s="51"/>
    </row>
    <row r="231" spans="2:31" x14ac:dyDescent="0.35">
      <c r="B231" s="51"/>
      <c r="C231" s="51"/>
      <c r="D231" s="51"/>
      <c r="E231" s="51"/>
      <c r="F231" s="51"/>
      <c r="G231" s="51"/>
      <c r="H231" s="51"/>
      <c r="I231" s="51"/>
      <c r="J231" s="51"/>
      <c r="K231" s="51"/>
      <c r="L231" s="51"/>
      <c r="M231" s="51"/>
      <c r="N231" s="51"/>
      <c r="O231" s="51"/>
      <c r="P231" s="51"/>
      <c r="Q231" s="51"/>
      <c r="R231" s="51"/>
      <c r="S231" s="51"/>
      <c r="T231" s="51"/>
      <c r="U231" s="51"/>
      <c r="V231" s="51"/>
      <c r="W231" s="51"/>
      <c r="X231" s="51"/>
      <c r="Y231" s="51"/>
      <c r="Z231" s="51"/>
      <c r="AA231" s="51"/>
      <c r="AB231" s="51"/>
      <c r="AC231" s="51"/>
      <c r="AD231" s="51"/>
      <c r="AE231" s="51"/>
    </row>
    <row r="232" spans="2:31" x14ac:dyDescent="0.35">
      <c r="B232" s="51"/>
      <c r="C232" s="51"/>
      <c r="D232" s="51"/>
      <c r="E232" s="51"/>
      <c r="F232" s="51"/>
      <c r="G232" s="51"/>
      <c r="H232" s="51"/>
      <c r="I232" s="51"/>
      <c r="J232" s="51"/>
      <c r="K232" s="51"/>
      <c r="L232" s="51"/>
      <c r="M232" s="51"/>
      <c r="N232" s="51"/>
      <c r="O232" s="51"/>
      <c r="P232" s="51"/>
      <c r="Q232" s="51"/>
      <c r="R232" s="51"/>
      <c r="S232" s="51"/>
      <c r="T232" s="51"/>
      <c r="U232" s="51"/>
      <c r="V232" s="51"/>
      <c r="W232" s="51"/>
      <c r="X232" s="51"/>
      <c r="Y232" s="51"/>
      <c r="Z232" s="51"/>
      <c r="AA232" s="51"/>
      <c r="AB232" s="51"/>
      <c r="AC232" s="51"/>
      <c r="AD232" s="51"/>
      <c r="AE232" s="51"/>
    </row>
    <row r="233" spans="2:31" x14ac:dyDescent="0.35">
      <c r="B233" s="51"/>
      <c r="C233" s="51"/>
      <c r="D233" s="51"/>
      <c r="E233" s="51"/>
      <c r="F233" s="51"/>
      <c r="G233" s="51"/>
      <c r="H233" s="51"/>
      <c r="I233" s="51"/>
      <c r="J233" s="51"/>
      <c r="K233" s="51"/>
      <c r="L233" s="51"/>
      <c r="M233" s="51"/>
      <c r="N233" s="51"/>
      <c r="O233" s="51"/>
      <c r="P233" s="51"/>
      <c r="Q233" s="51"/>
      <c r="R233" s="51"/>
      <c r="S233" s="51"/>
      <c r="T233" s="51"/>
      <c r="U233" s="51"/>
      <c r="V233" s="51"/>
      <c r="W233" s="51"/>
      <c r="X233" s="51"/>
      <c r="Y233" s="51"/>
      <c r="Z233" s="51"/>
      <c r="AA233" s="51"/>
      <c r="AB233" s="51"/>
      <c r="AC233" s="51"/>
      <c r="AD233" s="51"/>
      <c r="AE233" s="51"/>
    </row>
    <row r="234" spans="2:31" x14ac:dyDescent="0.35">
      <c r="B234" s="51"/>
      <c r="C234" s="51"/>
      <c r="D234" s="51"/>
      <c r="E234" s="51"/>
      <c r="F234" s="51"/>
      <c r="G234" s="51"/>
      <c r="H234" s="51"/>
      <c r="I234" s="51"/>
      <c r="J234" s="51"/>
      <c r="K234" s="51"/>
      <c r="L234" s="51"/>
      <c r="M234" s="51"/>
      <c r="N234" s="51"/>
      <c r="O234" s="51"/>
      <c r="P234" s="51"/>
      <c r="Q234" s="51"/>
      <c r="R234" s="51"/>
      <c r="S234" s="51"/>
      <c r="T234" s="51"/>
      <c r="U234" s="51"/>
      <c r="V234" s="51"/>
      <c r="W234" s="51"/>
      <c r="X234" s="51"/>
      <c r="Y234" s="51"/>
      <c r="Z234" s="51"/>
      <c r="AA234" s="51"/>
      <c r="AB234" s="51"/>
      <c r="AC234" s="51"/>
      <c r="AD234" s="51"/>
      <c r="AE234" s="51"/>
    </row>
    <row r="235" spans="2:31" x14ac:dyDescent="0.35">
      <c r="B235" s="51"/>
      <c r="C235" s="51"/>
      <c r="D235" s="51"/>
      <c r="E235" s="51"/>
      <c r="F235" s="51"/>
      <c r="G235" s="51"/>
      <c r="H235" s="51"/>
      <c r="I235" s="51"/>
      <c r="J235" s="51"/>
      <c r="K235" s="51"/>
      <c r="L235" s="51"/>
      <c r="M235" s="51"/>
      <c r="N235" s="51"/>
      <c r="O235" s="51"/>
      <c r="P235" s="51"/>
      <c r="Q235" s="51"/>
      <c r="R235" s="51"/>
      <c r="S235" s="51"/>
      <c r="T235" s="51"/>
      <c r="U235" s="51"/>
      <c r="V235" s="51"/>
      <c r="W235" s="51"/>
      <c r="X235" s="51"/>
      <c r="Y235" s="51"/>
      <c r="Z235" s="51"/>
      <c r="AA235" s="51"/>
      <c r="AB235" s="51"/>
      <c r="AC235" s="51"/>
      <c r="AD235" s="51"/>
      <c r="AE235" s="51"/>
    </row>
    <row r="236" spans="2:31" x14ac:dyDescent="0.35">
      <c r="B236" s="51"/>
      <c r="C236" s="51"/>
      <c r="D236" s="51"/>
      <c r="E236" s="51"/>
      <c r="F236" s="51"/>
      <c r="G236" s="51"/>
      <c r="H236" s="51"/>
      <c r="I236" s="51"/>
      <c r="J236" s="51"/>
      <c r="K236" s="51"/>
      <c r="L236" s="51"/>
      <c r="M236" s="51"/>
      <c r="N236" s="51"/>
      <c r="O236" s="51"/>
      <c r="P236" s="51"/>
      <c r="Q236" s="51"/>
      <c r="R236" s="51"/>
      <c r="S236" s="51"/>
      <c r="T236" s="51"/>
      <c r="U236" s="51"/>
      <c r="V236" s="51"/>
      <c r="W236" s="51"/>
      <c r="X236" s="51"/>
      <c r="Y236" s="51"/>
      <c r="Z236" s="51"/>
      <c r="AA236" s="51"/>
      <c r="AB236" s="51"/>
      <c r="AC236" s="51"/>
      <c r="AD236" s="51"/>
      <c r="AE236" s="51"/>
    </row>
    <row r="237" spans="2:31" x14ac:dyDescent="0.35">
      <c r="B237" s="51"/>
      <c r="C237" s="51"/>
      <c r="D237" s="51"/>
      <c r="E237" s="51"/>
      <c r="F237" s="51"/>
      <c r="G237" s="51"/>
      <c r="H237" s="51"/>
      <c r="I237" s="51"/>
      <c r="J237" s="51"/>
      <c r="K237" s="51"/>
      <c r="L237" s="51"/>
      <c r="M237" s="51"/>
      <c r="N237" s="51"/>
      <c r="O237" s="51"/>
      <c r="P237" s="51"/>
      <c r="Q237" s="51"/>
      <c r="R237" s="51"/>
      <c r="S237" s="51"/>
      <c r="T237" s="51"/>
      <c r="U237" s="51"/>
      <c r="V237" s="51"/>
      <c r="W237" s="51"/>
      <c r="X237" s="51"/>
      <c r="Y237" s="51"/>
      <c r="Z237" s="51"/>
      <c r="AA237" s="51"/>
      <c r="AB237" s="51"/>
      <c r="AC237" s="51"/>
      <c r="AD237" s="51"/>
      <c r="AE237" s="51"/>
    </row>
    <row r="238" spans="2:31" x14ac:dyDescent="0.35">
      <c r="B238" s="51"/>
      <c r="C238" s="51"/>
      <c r="D238" s="51"/>
      <c r="E238" s="51"/>
      <c r="F238" s="51"/>
      <c r="G238" s="51"/>
      <c r="H238" s="51"/>
      <c r="I238" s="51"/>
      <c r="J238" s="51"/>
      <c r="K238" s="51"/>
      <c r="L238" s="51"/>
      <c r="M238" s="51"/>
      <c r="N238" s="51"/>
      <c r="O238" s="51"/>
      <c r="P238" s="51"/>
      <c r="Q238" s="51"/>
      <c r="R238" s="51"/>
      <c r="S238" s="51"/>
      <c r="T238" s="51"/>
      <c r="U238" s="51"/>
      <c r="V238" s="51"/>
      <c r="W238" s="51"/>
      <c r="X238" s="51"/>
      <c r="Y238" s="51"/>
      <c r="Z238" s="51"/>
      <c r="AA238" s="51"/>
      <c r="AB238" s="51"/>
      <c r="AC238" s="51"/>
      <c r="AD238" s="51"/>
      <c r="AE238" s="51"/>
    </row>
    <row r="239" spans="2:31" x14ac:dyDescent="0.35">
      <c r="B239" s="51"/>
      <c r="C239" s="51"/>
      <c r="D239" s="51"/>
      <c r="E239" s="51"/>
      <c r="F239" s="51"/>
      <c r="G239" s="51"/>
      <c r="H239" s="51"/>
      <c r="I239" s="51"/>
      <c r="J239" s="51"/>
      <c r="K239" s="51"/>
      <c r="L239" s="51"/>
      <c r="M239" s="51"/>
      <c r="N239" s="51"/>
      <c r="O239" s="51"/>
      <c r="P239" s="51"/>
      <c r="Q239" s="51"/>
      <c r="R239" s="51"/>
      <c r="S239" s="51"/>
      <c r="T239" s="51"/>
      <c r="U239" s="51"/>
      <c r="V239" s="51"/>
      <c r="W239" s="51"/>
      <c r="X239" s="51"/>
      <c r="Y239" s="51"/>
      <c r="Z239" s="51"/>
      <c r="AA239" s="51"/>
      <c r="AB239" s="51"/>
      <c r="AC239" s="51"/>
      <c r="AD239" s="51"/>
      <c r="AE239" s="51"/>
    </row>
    <row r="240" spans="2:31" x14ac:dyDescent="0.35">
      <c r="B240" s="51"/>
      <c r="C240" s="51"/>
      <c r="D240" s="51"/>
      <c r="E240" s="51"/>
      <c r="F240" s="51"/>
      <c r="G240" s="51"/>
      <c r="H240" s="51"/>
      <c r="I240" s="51"/>
      <c r="J240" s="51"/>
      <c r="K240" s="51"/>
      <c r="L240" s="51"/>
      <c r="M240" s="51"/>
      <c r="N240" s="51"/>
      <c r="O240" s="51"/>
      <c r="P240" s="51"/>
      <c r="Q240" s="51"/>
      <c r="R240" s="51"/>
      <c r="S240" s="51"/>
      <c r="T240" s="51"/>
      <c r="U240" s="51"/>
      <c r="V240" s="51"/>
      <c r="W240" s="51"/>
      <c r="X240" s="51"/>
      <c r="Y240" s="51"/>
      <c r="Z240" s="51"/>
      <c r="AA240" s="51"/>
      <c r="AB240" s="51"/>
      <c r="AC240" s="51"/>
      <c r="AD240" s="51"/>
      <c r="AE240" s="51"/>
    </row>
    <row r="241" spans="2:31" x14ac:dyDescent="0.35">
      <c r="B241" s="51"/>
      <c r="C241" s="51"/>
      <c r="D241" s="51"/>
      <c r="E241" s="51"/>
      <c r="F241" s="51"/>
      <c r="G241" s="51"/>
      <c r="H241" s="51"/>
      <c r="I241" s="51"/>
      <c r="J241" s="51"/>
      <c r="K241" s="51"/>
      <c r="L241" s="51"/>
      <c r="M241" s="51"/>
      <c r="N241" s="51"/>
      <c r="O241" s="51"/>
      <c r="P241" s="51"/>
      <c r="Q241" s="51"/>
      <c r="R241" s="51"/>
      <c r="S241" s="51"/>
      <c r="T241" s="51"/>
      <c r="U241" s="51"/>
      <c r="V241" s="51"/>
      <c r="W241" s="51"/>
      <c r="X241" s="51"/>
      <c r="Y241" s="51"/>
      <c r="Z241" s="51"/>
      <c r="AA241" s="51"/>
      <c r="AB241" s="51"/>
      <c r="AC241" s="51"/>
      <c r="AD241" s="51"/>
      <c r="AE241" s="51"/>
    </row>
    <row r="242" spans="2:31" x14ac:dyDescent="0.35">
      <c r="B242" s="51"/>
      <c r="C242" s="51"/>
      <c r="D242" s="51"/>
      <c r="E242" s="51"/>
      <c r="F242" s="51"/>
      <c r="G242" s="51"/>
      <c r="H242" s="51"/>
      <c r="I242" s="51"/>
      <c r="J242" s="51"/>
      <c r="K242" s="51"/>
      <c r="L242" s="51"/>
      <c r="M242" s="51"/>
      <c r="N242" s="51"/>
      <c r="O242" s="51"/>
      <c r="P242" s="51"/>
      <c r="Q242" s="51"/>
      <c r="R242" s="51"/>
      <c r="S242" s="51"/>
      <c r="T242" s="51"/>
      <c r="U242" s="51"/>
      <c r="V242" s="51"/>
      <c r="W242" s="51"/>
      <c r="X242" s="51"/>
      <c r="Y242" s="51"/>
      <c r="Z242" s="51"/>
      <c r="AA242" s="51"/>
      <c r="AB242" s="51"/>
      <c r="AC242" s="51"/>
      <c r="AD242" s="51"/>
      <c r="AE242" s="51"/>
    </row>
    <row r="243" spans="2:31" x14ac:dyDescent="0.35">
      <c r="B243" s="51"/>
      <c r="C243" s="51"/>
      <c r="D243" s="51"/>
      <c r="E243" s="51"/>
      <c r="F243" s="51"/>
      <c r="G243" s="51"/>
      <c r="H243" s="51"/>
      <c r="I243" s="51"/>
      <c r="J243" s="51"/>
      <c r="K243" s="51"/>
      <c r="L243" s="51"/>
      <c r="M243" s="51"/>
      <c r="N243" s="51"/>
      <c r="O243" s="51"/>
      <c r="P243" s="51"/>
      <c r="Q243" s="51"/>
      <c r="R243" s="51"/>
      <c r="S243" s="51"/>
      <c r="T243" s="51"/>
      <c r="U243" s="51"/>
      <c r="V243" s="51"/>
      <c r="W243" s="51"/>
      <c r="X243" s="51"/>
      <c r="Y243" s="51"/>
      <c r="Z243" s="51"/>
      <c r="AA243" s="51"/>
      <c r="AB243" s="51"/>
      <c r="AC243" s="51"/>
      <c r="AD243" s="51"/>
      <c r="AE243" s="51"/>
    </row>
    <row r="244" spans="2:31" x14ac:dyDescent="0.35">
      <c r="B244" s="51"/>
      <c r="C244" s="51"/>
      <c r="D244" s="51"/>
      <c r="E244" s="51"/>
      <c r="F244" s="51"/>
      <c r="G244" s="51"/>
      <c r="H244" s="51"/>
      <c r="I244" s="51"/>
      <c r="J244" s="51"/>
      <c r="K244" s="51"/>
      <c r="L244" s="51"/>
      <c r="M244" s="51"/>
      <c r="N244" s="51"/>
      <c r="O244" s="51"/>
      <c r="P244" s="51"/>
      <c r="Q244" s="51"/>
      <c r="R244" s="51"/>
      <c r="S244" s="51"/>
      <c r="T244" s="51"/>
      <c r="U244" s="51"/>
      <c r="V244" s="51"/>
      <c r="W244" s="51"/>
      <c r="X244" s="51"/>
      <c r="Y244" s="51"/>
      <c r="Z244" s="51"/>
      <c r="AA244" s="51"/>
      <c r="AB244" s="51"/>
      <c r="AC244" s="51"/>
      <c r="AD244" s="51"/>
      <c r="AE244" s="51"/>
    </row>
    <row r="245" spans="2:31" x14ac:dyDescent="0.35">
      <c r="B245" s="51"/>
      <c r="C245" s="51"/>
      <c r="D245" s="51"/>
      <c r="E245" s="51"/>
      <c r="F245" s="51"/>
      <c r="G245" s="51"/>
      <c r="H245" s="51"/>
      <c r="I245" s="51"/>
      <c r="J245" s="51"/>
      <c r="K245" s="51"/>
      <c r="L245" s="51"/>
      <c r="M245" s="51"/>
      <c r="N245" s="51"/>
      <c r="O245" s="51"/>
      <c r="P245" s="51"/>
      <c r="Q245" s="51"/>
      <c r="R245" s="51"/>
      <c r="S245" s="51"/>
      <c r="T245" s="51"/>
      <c r="U245" s="51"/>
      <c r="V245" s="51"/>
      <c r="W245" s="51"/>
      <c r="X245" s="51"/>
      <c r="Y245" s="51"/>
      <c r="Z245" s="51"/>
      <c r="AA245" s="51"/>
      <c r="AB245" s="51"/>
      <c r="AC245" s="51"/>
      <c r="AD245" s="51"/>
      <c r="AE245" s="51"/>
    </row>
    <row r="246" spans="2:31" x14ac:dyDescent="0.35">
      <c r="B246" s="51"/>
      <c r="C246" s="51"/>
      <c r="D246" s="51"/>
      <c r="E246" s="51"/>
      <c r="F246" s="51"/>
      <c r="G246" s="51"/>
      <c r="H246" s="51"/>
      <c r="I246" s="51"/>
      <c r="J246" s="51"/>
      <c r="K246" s="51"/>
      <c r="L246" s="51"/>
      <c r="M246" s="51"/>
      <c r="N246" s="51"/>
      <c r="O246" s="51"/>
      <c r="P246" s="51"/>
      <c r="Q246" s="51"/>
      <c r="R246" s="51"/>
      <c r="S246" s="51"/>
      <c r="T246" s="51"/>
      <c r="U246" s="51"/>
      <c r="V246" s="51"/>
      <c r="W246" s="51"/>
      <c r="X246" s="51"/>
      <c r="Y246" s="51"/>
      <c r="Z246" s="51"/>
      <c r="AA246" s="51"/>
      <c r="AB246" s="51"/>
      <c r="AC246" s="51"/>
      <c r="AD246" s="51"/>
      <c r="AE246" s="51"/>
    </row>
    <row r="247" spans="2:31" x14ac:dyDescent="0.35">
      <c r="B247" s="51"/>
      <c r="C247" s="51"/>
      <c r="D247" s="51"/>
      <c r="E247" s="51"/>
      <c r="F247" s="51"/>
      <c r="G247" s="51"/>
      <c r="H247" s="51"/>
      <c r="I247" s="51"/>
      <c r="J247" s="51"/>
      <c r="K247" s="51"/>
      <c r="L247" s="51"/>
      <c r="M247" s="51"/>
      <c r="N247" s="51"/>
      <c r="O247" s="51"/>
      <c r="P247" s="51"/>
      <c r="Q247" s="51"/>
      <c r="R247" s="51"/>
      <c r="S247" s="51"/>
      <c r="T247" s="51"/>
      <c r="U247" s="51"/>
      <c r="V247" s="51"/>
      <c r="W247" s="51"/>
      <c r="X247" s="51"/>
      <c r="Y247" s="51"/>
      <c r="Z247" s="51"/>
      <c r="AA247" s="51"/>
      <c r="AB247" s="51"/>
      <c r="AC247" s="51"/>
      <c r="AD247" s="51"/>
      <c r="AE247" s="51"/>
    </row>
    <row r="248" spans="2:31" x14ac:dyDescent="0.35">
      <c r="B248" s="51"/>
      <c r="C248" s="51"/>
      <c r="D248" s="51"/>
      <c r="E248" s="51"/>
      <c r="F248" s="51"/>
      <c r="G248" s="51"/>
      <c r="H248" s="51"/>
      <c r="I248" s="51"/>
      <c r="J248" s="51"/>
      <c r="K248" s="51"/>
      <c r="L248" s="51"/>
      <c r="M248" s="51"/>
      <c r="N248" s="51"/>
      <c r="O248" s="51"/>
      <c r="P248" s="51"/>
      <c r="Q248" s="51"/>
      <c r="R248" s="51"/>
      <c r="S248" s="51"/>
      <c r="T248" s="51"/>
      <c r="U248" s="51"/>
      <c r="V248" s="51"/>
      <c r="W248" s="51"/>
      <c r="X248" s="51"/>
      <c r="Y248" s="51"/>
      <c r="Z248" s="51"/>
      <c r="AA248" s="51"/>
      <c r="AB248" s="51"/>
      <c r="AC248" s="51"/>
      <c r="AD248" s="51"/>
      <c r="AE248" s="51"/>
    </row>
    <row r="249" spans="2:31" x14ac:dyDescent="0.35">
      <c r="B249" s="51"/>
      <c r="C249" s="51"/>
      <c r="D249" s="51"/>
      <c r="E249" s="51"/>
      <c r="F249" s="51"/>
      <c r="G249" s="51"/>
      <c r="H249" s="51"/>
      <c r="I249" s="51"/>
      <c r="J249" s="51"/>
      <c r="K249" s="51"/>
      <c r="L249" s="51"/>
      <c r="M249" s="51"/>
      <c r="N249" s="51"/>
      <c r="O249" s="51"/>
      <c r="P249" s="51"/>
      <c r="Q249" s="51"/>
      <c r="R249" s="51"/>
      <c r="S249" s="51"/>
      <c r="T249" s="51"/>
      <c r="U249" s="51"/>
      <c r="V249" s="51"/>
      <c r="W249" s="51"/>
      <c r="X249" s="51"/>
      <c r="Y249" s="51"/>
      <c r="Z249" s="51"/>
      <c r="AA249" s="51"/>
      <c r="AB249" s="51"/>
      <c r="AC249" s="51"/>
      <c r="AD249" s="51"/>
      <c r="AE249" s="51"/>
    </row>
    <row r="250" spans="2:31" x14ac:dyDescent="0.35">
      <c r="B250" s="51"/>
      <c r="C250" s="51"/>
      <c r="D250" s="51"/>
      <c r="E250" s="51"/>
      <c r="F250" s="51"/>
      <c r="G250" s="51"/>
      <c r="H250" s="51"/>
      <c r="I250" s="51"/>
      <c r="J250" s="51"/>
      <c r="K250" s="51"/>
      <c r="L250" s="51"/>
      <c r="M250" s="51"/>
      <c r="N250" s="51"/>
      <c r="O250" s="51"/>
      <c r="P250" s="51"/>
      <c r="Q250" s="51"/>
      <c r="R250" s="51"/>
      <c r="S250" s="51"/>
      <c r="T250" s="51"/>
      <c r="U250" s="51"/>
      <c r="V250" s="51"/>
      <c r="W250" s="51"/>
      <c r="X250" s="51"/>
      <c r="Y250" s="51"/>
      <c r="Z250" s="51"/>
      <c r="AA250" s="51"/>
      <c r="AB250" s="51"/>
      <c r="AC250" s="51"/>
      <c r="AD250" s="51"/>
      <c r="AE250" s="51"/>
    </row>
    <row r="251" spans="2:31" x14ac:dyDescent="0.35">
      <c r="B251" s="51"/>
      <c r="C251" s="51"/>
      <c r="D251" s="51"/>
      <c r="E251" s="51"/>
      <c r="F251" s="51"/>
      <c r="G251" s="51"/>
      <c r="H251" s="51"/>
      <c r="I251" s="51"/>
      <c r="J251" s="51"/>
      <c r="K251" s="51"/>
      <c r="L251" s="51"/>
      <c r="M251" s="51"/>
      <c r="N251" s="51"/>
      <c r="O251" s="51"/>
      <c r="P251" s="51"/>
      <c r="Q251" s="51"/>
      <c r="R251" s="51"/>
      <c r="S251" s="51"/>
      <c r="T251" s="51"/>
      <c r="U251" s="51"/>
      <c r="V251" s="51"/>
      <c r="W251" s="51"/>
      <c r="X251" s="51"/>
      <c r="Y251" s="51"/>
      <c r="Z251" s="51"/>
      <c r="AA251" s="51"/>
      <c r="AB251" s="51"/>
      <c r="AC251" s="51"/>
      <c r="AD251" s="51"/>
      <c r="AE251" s="51"/>
    </row>
    <row r="252" spans="2:31" x14ac:dyDescent="0.35">
      <c r="B252" s="51"/>
      <c r="C252" s="51"/>
      <c r="D252" s="51"/>
      <c r="E252" s="51"/>
      <c r="F252" s="51"/>
      <c r="G252" s="51"/>
      <c r="H252" s="51"/>
      <c r="I252" s="51"/>
      <c r="J252" s="51"/>
      <c r="K252" s="51"/>
      <c r="L252" s="51"/>
      <c r="M252" s="51"/>
      <c r="N252" s="51"/>
      <c r="O252" s="51"/>
      <c r="P252" s="51"/>
      <c r="Q252" s="51"/>
      <c r="R252" s="51"/>
      <c r="S252" s="51"/>
      <c r="T252" s="51"/>
      <c r="U252" s="51"/>
      <c r="V252" s="51"/>
      <c r="W252" s="51"/>
      <c r="X252" s="51"/>
      <c r="Y252" s="51"/>
      <c r="Z252" s="51"/>
      <c r="AA252" s="51"/>
      <c r="AB252" s="51"/>
      <c r="AC252" s="51"/>
      <c r="AD252" s="51"/>
      <c r="AE252" s="51"/>
    </row>
    <row r="253" spans="2:31" x14ac:dyDescent="0.35">
      <c r="B253" s="51"/>
      <c r="C253" s="51"/>
      <c r="D253" s="51"/>
      <c r="E253" s="51"/>
      <c r="F253" s="51"/>
      <c r="G253" s="51"/>
      <c r="H253" s="51"/>
      <c r="I253" s="51"/>
      <c r="J253" s="51"/>
      <c r="K253" s="51"/>
      <c r="L253" s="51"/>
      <c r="M253" s="51"/>
      <c r="N253" s="51"/>
      <c r="O253" s="51"/>
      <c r="P253" s="51"/>
      <c r="Q253" s="51"/>
      <c r="R253" s="51"/>
      <c r="S253" s="51"/>
      <c r="T253" s="51"/>
      <c r="U253" s="51"/>
      <c r="V253" s="51"/>
      <c r="W253" s="51"/>
      <c r="X253" s="51"/>
      <c r="Y253" s="51"/>
      <c r="Z253" s="51"/>
      <c r="AA253" s="51"/>
      <c r="AB253" s="51"/>
      <c r="AC253" s="51"/>
      <c r="AD253" s="51"/>
      <c r="AE253" s="51"/>
    </row>
    <row r="254" spans="2:31" x14ac:dyDescent="0.35">
      <c r="B254" s="51"/>
      <c r="C254" s="51"/>
      <c r="D254" s="51"/>
      <c r="E254" s="51"/>
      <c r="F254" s="51"/>
      <c r="G254" s="51"/>
      <c r="H254" s="51"/>
      <c r="I254" s="51"/>
      <c r="J254" s="51"/>
      <c r="K254" s="51"/>
      <c r="L254" s="51"/>
      <c r="M254" s="51"/>
      <c r="N254" s="51"/>
      <c r="O254" s="51"/>
      <c r="P254" s="51"/>
      <c r="Q254" s="51"/>
      <c r="R254" s="51"/>
      <c r="S254" s="51"/>
      <c r="T254" s="51"/>
      <c r="U254" s="51"/>
      <c r="V254" s="51"/>
      <c r="W254" s="51"/>
      <c r="X254" s="51"/>
      <c r="Y254" s="51"/>
      <c r="Z254" s="51"/>
      <c r="AA254" s="51"/>
      <c r="AB254" s="51"/>
      <c r="AC254" s="51"/>
      <c r="AD254" s="51"/>
      <c r="AE254" s="51"/>
    </row>
    <row r="255" spans="2:31" x14ac:dyDescent="0.35">
      <c r="B255" s="51"/>
      <c r="C255" s="51"/>
      <c r="D255" s="51"/>
      <c r="E255" s="51"/>
      <c r="F255" s="51"/>
      <c r="G255" s="51"/>
      <c r="H255" s="51"/>
      <c r="I255" s="51"/>
      <c r="J255" s="51"/>
      <c r="K255" s="51"/>
      <c r="L255" s="51"/>
      <c r="M255" s="51"/>
      <c r="N255" s="51"/>
      <c r="O255" s="51"/>
      <c r="P255" s="51"/>
      <c r="Q255" s="51"/>
      <c r="R255" s="51"/>
      <c r="S255" s="51"/>
      <c r="T255" s="51"/>
      <c r="U255" s="51"/>
      <c r="V255" s="51"/>
      <c r="W255" s="51"/>
      <c r="X255" s="51"/>
      <c r="Y255" s="51"/>
      <c r="Z255" s="51"/>
      <c r="AA255" s="51"/>
      <c r="AB255" s="51"/>
      <c r="AC255" s="51"/>
      <c r="AD255" s="51"/>
      <c r="AE255" s="51"/>
    </row>
    <row r="256" spans="2:31" x14ac:dyDescent="0.35">
      <c r="B256" s="51"/>
      <c r="C256" s="51"/>
      <c r="D256" s="51"/>
      <c r="E256" s="51"/>
      <c r="F256" s="51"/>
      <c r="G256" s="51"/>
      <c r="H256" s="51"/>
      <c r="I256" s="51"/>
      <c r="J256" s="51"/>
      <c r="K256" s="51"/>
      <c r="L256" s="51"/>
      <c r="M256" s="51"/>
      <c r="N256" s="51"/>
      <c r="O256" s="51"/>
      <c r="P256" s="51"/>
      <c r="Q256" s="51"/>
      <c r="R256" s="51"/>
      <c r="S256" s="51"/>
      <c r="T256" s="51"/>
      <c r="U256" s="51"/>
      <c r="V256" s="51"/>
      <c r="W256" s="51"/>
      <c r="X256" s="51"/>
      <c r="Y256" s="51"/>
      <c r="Z256" s="51"/>
      <c r="AA256" s="51"/>
      <c r="AB256" s="51"/>
      <c r="AC256" s="51"/>
      <c r="AD256" s="51"/>
      <c r="AE256" s="51"/>
    </row>
    <row r="257" spans="2:31" x14ac:dyDescent="0.35">
      <c r="B257" s="51"/>
      <c r="C257" s="51"/>
      <c r="D257" s="51"/>
      <c r="E257" s="51"/>
      <c r="F257" s="51"/>
      <c r="G257" s="51"/>
      <c r="H257" s="51"/>
      <c r="I257" s="51"/>
      <c r="J257" s="51"/>
      <c r="K257" s="51"/>
      <c r="L257" s="51"/>
      <c r="M257" s="51"/>
      <c r="N257" s="51"/>
      <c r="O257" s="51"/>
      <c r="P257" s="51"/>
      <c r="Q257" s="51"/>
      <c r="R257" s="51"/>
      <c r="S257" s="51"/>
      <c r="T257" s="51"/>
      <c r="U257" s="51"/>
      <c r="V257" s="51"/>
      <c r="W257" s="51"/>
      <c r="X257" s="51"/>
      <c r="Y257" s="51"/>
      <c r="Z257" s="51"/>
      <c r="AA257" s="51"/>
      <c r="AB257" s="51"/>
      <c r="AC257" s="51"/>
      <c r="AD257" s="51"/>
      <c r="AE257" s="51"/>
    </row>
    <row r="258" spans="2:31" x14ac:dyDescent="0.35">
      <c r="B258" s="51"/>
      <c r="C258" s="51"/>
      <c r="D258" s="51"/>
      <c r="E258" s="51"/>
      <c r="F258" s="51"/>
      <c r="G258" s="51"/>
      <c r="H258" s="51"/>
      <c r="I258" s="51"/>
      <c r="J258" s="51"/>
      <c r="K258" s="51"/>
      <c r="L258" s="51"/>
      <c r="M258" s="51"/>
      <c r="N258" s="51"/>
      <c r="O258" s="51"/>
      <c r="P258" s="51"/>
      <c r="Q258" s="51"/>
      <c r="R258" s="51"/>
      <c r="S258" s="51"/>
      <c r="T258" s="51"/>
      <c r="U258" s="51"/>
      <c r="V258" s="51"/>
      <c r="W258" s="51"/>
      <c r="X258" s="51"/>
      <c r="Y258" s="51"/>
      <c r="Z258" s="51"/>
      <c r="AA258" s="51"/>
      <c r="AB258" s="51"/>
      <c r="AC258" s="51"/>
      <c r="AD258" s="51"/>
      <c r="AE258" s="51"/>
    </row>
    <row r="259" spans="2:31" x14ac:dyDescent="0.35">
      <c r="B259" s="51"/>
      <c r="C259" s="51"/>
      <c r="D259" s="51"/>
      <c r="E259" s="51"/>
      <c r="F259" s="51"/>
      <c r="G259" s="51"/>
      <c r="H259" s="51"/>
      <c r="I259" s="51"/>
      <c r="J259" s="51"/>
      <c r="K259" s="51"/>
      <c r="L259" s="51"/>
      <c r="M259" s="51"/>
      <c r="N259" s="51"/>
      <c r="O259" s="51"/>
      <c r="P259" s="51"/>
      <c r="Q259" s="51"/>
      <c r="R259" s="51"/>
      <c r="S259" s="51"/>
      <c r="T259" s="51"/>
      <c r="U259" s="51"/>
      <c r="V259" s="51"/>
      <c r="W259" s="51"/>
      <c r="X259" s="51"/>
      <c r="Y259" s="51"/>
      <c r="Z259" s="51"/>
      <c r="AA259" s="51"/>
      <c r="AB259" s="51"/>
      <c r="AC259" s="51"/>
      <c r="AD259" s="51"/>
      <c r="AE259" s="51"/>
    </row>
    <row r="260" spans="2:31" x14ac:dyDescent="0.35">
      <c r="B260" s="51"/>
      <c r="C260" s="51"/>
      <c r="D260" s="51"/>
      <c r="E260" s="51"/>
      <c r="F260" s="51"/>
      <c r="G260" s="51"/>
      <c r="H260" s="51"/>
      <c r="I260" s="51"/>
      <c r="J260" s="51"/>
      <c r="K260" s="51"/>
      <c r="L260" s="51"/>
      <c r="M260" s="51"/>
      <c r="N260" s="51"/>
      <c r="O260" s="51"/>
      <c r="P260" s="51"/>
      <c r="Q260" s="51"/>
      <c r="R260" s="51"/>
      <c r="S260" s="51"/>
      <c r="T260" s="51"/>
      <c r="U260" s="51"/>
      <c r="V260" s="51"/>
      <c r="W260" s="51"/>
      <c r="X260" s="51"/>
      <c r="Y260" s="51"/>
      <c r="Z260" s="51"/>
      <c r="AA260" s="51"/>
      <c r="AB260" s="51"/>
      <c r="AC260" s="51"/>
      <c r="AD260" s="51"/>
      <c r="AE260" s="51"/>
    </row>
  </sheetData>
  <printOptions horizontalCentered="1"/>
  <pageMargins left="0.25" right="0.25" top="0.5" bottom="0.5" header="0.3" footer="0.3"/>
  <pageSetup scale="52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pdfPage26">
                <anchor moveWithCells="1" sizeWithCells="1">
                  <from>
                    <xdr:col>0</xdr:col>
                    <xdr:colOff>95250</xdr:colOff>
                    <xdr:row>0</xdr:row>
                    <xdr:rowOff>31750</xdr:rowOff>
                  </from>
                  <to>
                    <xdr:col>0</xdr:col>
                    <xdr:colOff>127000</xdr:colOff>
                    <xdr:row>0</xdr:row>
                    <xdr:rowOff>57150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D0CF2-6831-45CD-B8F4-00BF4D71A68D}">
  <sheetPr transitionEvaluation="1" transitionEntry="1" codeName="Sheet28">
    <pageSetUpPr fitToPage="1"/>
  </sheetPr>
  <dimension ref="A1:ID207"/>
  <sheetViews>
    <sheetView defaultGridColor="0" topLeftCell="A38" colorId="22" zoomScaleNormal="100" zoomScaleSheetLayoutView="120" workbookViewId="0">
      <selection activeCell="D6" sqref="D6"/>
    </sheetView>
  </sheetViews>
  <sheetFormatPr defaultColWidth="9.58203125" defaultRowHeight="15.5" x14ac:dyDescent="0.35"/>
  <cols>
    <col min="1" max="1" width="40.58203125" style="53" customWidth="1"/>
    <col min="2" max="8" width="18.83203125" style="54" customWidth="1"/>
    <col min="9" max="9" width="0.33203125" style="54" customWidth="1"/>
    <col min="10" max="16384" width="9.58203125" style="54"/>
  </cols>
  <sheetData>
    <row r="1" spans="1:41" s="59" customFormat="1" ht="18.5" x14ac:dyDescent="0.45">
      <c r="A1" s="67" t="str">
        <f>Page_1!$A$1</f>
        <v>IRR 2023 Sch A-13 F.Z25.XLSM</v>
      </c>
      <c r="B1" s="42"/>
      <c r="C1" s="42"/>
      <c r="D1" s="32"/>
      <c r="E1" s="32"/>
      <c r="F1" s="33"/>
      <c r="G1" s="33"/>
      <c r="H1" s="34"/>
      <c r="I1" s="33"/>
      <c r="J1" s="42" t="s">
        <v>102</v>
      </c>
    </row>
    <row r="2" spans="1:41" s="59" customFormat="1" ht="18.5" x14ac:dyDescent="0.45">
      <c r="A2" s="11" t="str">
        <f>Page_1!$A$2</f>
        <v>09/20/2022</v>
      </c>
      <c r="C2" s="35"/>
      <c r="D2" s="35"/>
      <c r="E2" s="35"/>
      <c r="F2" s="35"/>
      <c r="G2" s="35"/>
      <c r="H2" s="36"/>
      <c r="I2" s="37"/>
      <c r="J2" s="42" t="s">
        <v>102</v>
      </c>
    </row>
    <row r="3" spans="1:41" s="59" customFormat="1" ht="18.5" x14ac:dyDescent="0.45">
      <c r="A3" s="12" t="str">
        <f>Page_1!A3</f>
        <v>CENTRAL VALLEY PROJECT</v>
      </c>
      <c r="C3" s="35"/>
      <c r="D3" s="35"/>
      <c r="E3" s="35"/>
      <c r="F3" s="35"/>
      <c r="G3" s="35"/>
      <c r="H3" s="37"/>
      <c r="I3" s="37"/>
      <c r="J3" s="32"/>
    </row>
    <row r="4" spans="1:41" s="59" customFormat="1" ht="55.5" x14ac:dyDescent="0.45">
      <c r="A4" s="12" t="str">
        <f>Page_1!A4</f>
        <v>SCHEDULE OF HISTORICAL (1981-2021) &amp; PROJECTED (2022-2030) IRRIGATION WATER DELIVERIES (IN ACRE FEET)</v>
      </c>
      <c r="C4" s="35"/>
      <c r="D4" s="35"/>
      <c r="E4" s="35"/>
      <c r="F4" s="35"/>
      <c r="G4" s="35"/>
      <c r="H4" s="32"/>
      <c r="I4" s="32"/>
      <c r="J4" s="32"/>
    </row>
    <row r="5" spans="1:41" s="59" customFormat="1" ht="55.5" x14ac:dyDescent="0.45">
      <c r="A5" s="12" t="s">
        <v>120</v>
      </c>
      <c r="B5" s="32"/>
      <c r="C5" s="32"/>
      <c r="D5" s="42" t="s">
        <v>102</v>
      </c>
      <c r="E5" s="42" t="s">
        <v>102</v>
      </c>
      <c r="F5" s="42" t="s">
        <v>102</v>
      </c>
      <c r="G5" s="42" t="s">
        <v>102</v>
      </c>
      <c r="H5" s="42" t="s">
        <v>102</v>
      </c>
      <c r="I5" s="32"/>
      <c r="J5" s="42" t="s">
        <v>102</v>
      </c>
    </row>
    <row r="6" spans="1:41" s="69" customFormat="1" ht="62" x14ac:dyDescent="0.35">
      <c r="A6" s="153" t="s">
        <v>34</v>
      </c>
      <c r="B6" s="98" t="s">
        <v>299</v>
      </c>
      <c r="C6" s="98" t="s">
        <v>300</v>
      </c>
      <c r="D6" s="154" t="s">
        <v>301</v>
      </c>
      <c r="E6" s="43" t="s">
        <v>302</v>
      </c>
      <c r="F6" s="44" t="s">
        <v>303</v>
      </c>
      <c r="G6" s="61" t="s">
        <v>304</v>
      </c>
      <c r="H6" s="45" t="s">
        <v>305</v>
      </c>
      <c r="I6" s="68"/>
      <c r="J6" s="88" t="s">
        <v>102</v>
      </c>
    </row>
    <row r="7" spans="1:41" hidden="1" x14ac:dyDescent="0.35">
      <c r="A7" s="50"/>
      <c r="B7" s="155"/>
      <c r="C7" s="155"/>
      <c r="D7" s="90"/>
      <c r="E7" s="156"/>
      <c r="F7" s="156"/>
      <c r="G7" s="156"/>
      <c r="H7" s="156"/>
      <c r="I7" s="155"/>
      <c r="J7" s="157"/>
      <c r="K7" s="158"/>
      <c r="L7" s="158"/>
    </row>
    <row r="8" spans="1:41" x14ac:dyDescent="0.35">
      <c r="A8" s="18" t="s">
        <v>42</v>
      </c>
      <c r="B8" s="19">
        <f>Page_6!C7</f>
        <v>399275.37588419125</v>
      </c>
      <c r="C8" s="19">
        <f>Page_7!D7</f>
        <v>129087</v>
      </c>
      <c r="D8" s="159">
        <f>Page_7!E7</f>
        <v>0</v>
      </c>
      <c r="E8" s="19">
        <f>Page_13!F7</f>
        <v>782139.482878512</v>
      </c>
      <c r="F8" s="19">
        <f>Page_13!G7</f>
        <v>60103</v>
      </c>
      <c r="G8" s="19">
        <f t="shared" ref="G8:G57" si="0">SUM(E8:F8)</f>
        <v>842242.482878512</v>
      </c>
      <c r="H8" s="19">
        <f>Page_13!I7</f>
        <v>24000</v>
      </c>
      <c r="I8" s="51"/>
      <c r="J8" s="19" t="s">
        <v>102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1" x14ac:dyDescent="0.35">
      <c r="A9" s="18" t="s">
        <v>43</v>
      </c>
      <c r="B9" s="19">
        <f>Page_6!C8</f>
        <v>272410.34206276084</v>
      </c>
      <c r="C9" s="19">
        <f>Page_7!D8</f>
        <v>72970</v>
      </c>
      <c r="D9" s="51">
        <f>Page_7!E8</f>
        <v>14000</v>
      </c>
      <c r="E9" s="19">
        <f>Page_13!F8</f>
        <v>439482.18050395255</v>
      </c>
      <c r="F9" s="19">
        <f>Page_13!G8</f>
        <v>1231984</v>
      </c>
      <c r="G9" s="19">
        <f t="shared" si="0"/>
        <v>1671466.1805039525</v>
      </c>
      <c r="H9" s="19">
        <f>Page_13!I8</f>
        <v>24000</v>
      </c>
      <c r="I9" s="51"/>
      <c r="J9" s="19" t="s">
        <v>102</v>
      </c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1" x14ac:dyDescent="0.35">
      <c r="A10" s="18" t="s">
        <v>44</v>
      </c>
      <c r="B10" s="19">
        <f>Page_6!C9</f>
        <v>338016.49844900001</v>
      </c>
      <c r="C10" s="19">
        <f>Page_7!D9</f>
        <v>79379</v>
      </c>
      <c r="D10" s="51">
        <f>Page_7!E9</f>
        <v>14000</v>
      </c>
      <c r="E10" s="19">
        <f>Page_13!F9</f>
        <v>533329.10937450104</v>
      </c>
      <c r="F10" s="19">
        <f>Page_13!G9</f>
        <v>1020640</v>
      </c>
      <c r="G10" s="19">
        <f t="shared" si="0"/>
        <v>1553969.109374501</v>
      </c>
      <c r="H10" s="19">
        <f>Page_13!I9</f>
        <v>24000</v>
      </c>
      <c r="I10" s="51"/>
      <c r="J10" s="19" t="s">
        <v>102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1" x14ac:dyDescent="0.35">
      <c r="A11" s="18" t="s">
        <v>45</v>
      </c>
      <c r="B11" s="19">
        <f>Page_6!C10</f>
        <v>474023.50548744347</v>
      </c>
      <c r="C11" s="19">
        <f>Page_7!D10</f>
        <v>132347</v>
      </c>
      <c r="D11" s="51">
        <f>Page_7!E10</f>
        <v>5740</v>
      </c>
      <c r="E11" s="19">
        <f>Page_13!F10</f>
        <v>791944.71032345854</v>
      </c>
      <c r="F11" s="19">
        <f>Page_13!G10</f>
        <v>466357</v>
      </c>
      <c r="G11" s="19">
        <f t="shared" si="0"/>
        <v>1258301.7103234585</v>
      </c>
      <c r="H11" s="19">
        <f>Page_13!I10</f>
        <v>24000</v>
      </c>
      <c r="I11" s="51"/>
      <c r="J11" s="19" t="s">
        <v>102</v>
      </c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</row>
    <row r="12" spans="1:41" x14ac:dyDescent="0.35">
      <c r="A12" s="18" t="s">
        <v>46</v>
      </c>
      <c r="B12" s="19">
        <f>Page_6!C11</f>
        <v>357457.42925112171</v>
      </c>
      <c r="C12" s="19">
        <f>Page_7!D11</f>
        <v>76373</v>
      </c>
      <c r="D12" s="51">
        <f>Page_7!E11</f>
        <v>2660</v>
      </c>
      <c r="E12" s="19">
        <f>Page_13!F11</f>
        <v>702046.16527950321</v>
      </c>
      <c r="F12" s="19">
        <f>Page_13!G11</f>
        <v>107981.5</v>
      </c>
      <c r="G12" s="19">
        <f t="shared" si="0"/>
        <v>810027.66527950321</v>
      </c>
      <c r="H12" s="19">
        <f>Page_13!I11</f>
        <v>24000</v>
      </c>
      <c r="I12" s="51"/>
      <c r="J12" s="19" t="s">
        <v>102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</row>
    <row r="13" spans="1:41" x14ac:dyDescent="0.35">
      <c r="A13" s="18" t="s">
        <v>47</v>
      </c>
      <c r="B13" s="19">
        <f>Page_6!C12</f>
        <v>302408.43387329567</v>
      </c>
      <c r="C13" s="19">
        <f>Page_7!D12</f>
        <v>55387</v>
      </c>
      <c r="D13" s="51">
        <f>Page_7!E12</f>
        <v>14280</v>
      </c>
      <c r="E13" s="19">
        <f>Page_13!F12</f>
        <v>440409.51512704685</v>
      </c>
      <c r="F13" s="19">
        <f>Page_13!G12</f>
        <v>1087855.3</v>
      </c>
      <c r="G13" s="19">
        <f t="shared" si="0"/>
        <v>1528264.8151270468</v>
      </c>
      <c r="H13" s="19">
        <f>Page_13!I12</f>
        <v>24000</v>
      </c>
      <c r="I13" s="51"/>
      <c r="J13" s="19" t="s">
        <v>102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</row>
    <row r="14" spans="1:41" x14ac:dyDescent="0.35">
      <c r="A14" s="18" t="s">
        <v>48</v>
      </c>
      <c r="B14" s="19">
        <f>Page_6!C13</f>
        <v>357539.29480548261</v>
      </c>
      <c r="C14" s="19">
        <f>Page_7!D13</f>
        <v>83942</v>
      </c>
      <c r="D14" s="159">
        <f>Page_7!E13</f>
        <v>0</v>
      </c>
      <c r="E14" s="19">
        <f>Page_13!F13</f>
        <v>642322.47709525109</v>
      </c>
      <c r="F14" s="19">
        <f>Page_13!G13</f>
        <v>19853</v>
      </c>
      <c r="G14" s="19">
        <f t="shared" si="0"/>
        <v>662175.47709525109</v>
      </c>
      <c r="H14" s="19">
        <f>Page_13!I13</f>
        <v>24000</v>
      </c>
      <c r="I14" s="51"/>
      <c r="J14" s="19" t="s">
        <v>102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</row>
    <row r="15" spans="1:41" x14ac:dyDescent="0.35">
      <c r="A15" s="18" t="s">
        <v>49</v>
      </c>
      <c r="B15" s="19">
        <f>Page_6!C14</f>
        <v>343279.68364242825</v>
      </c>
      <c r="C15" s="19">
        <f>Page_7!D14</f>
        <v>78571</v>
      </c>
      <c r="D15" s="159">
        <f>Page_7!E14</f>
        <v>0</v>
      </c>
      <c r="E15" s="19">
        <f>Page_13!F14</f>
        <v>572437.79485284956</v>
      </c>
      <c r="F15" s="159">
        <f>Page_13!G14</f>
        <v>0</v>
      </c>
      <c r="G15" s="19">
        <f t="shared" si="0"/>
        <v>572437.79485284956</v>
      </c>
      <c r="H15" s="19">
        <f>Page_13!I14</f>
        <v>24000</v>
      </c>
      <c r="I15" s="51"/>
      <c r="J15" s="19" t="s">
        <v>102</v>
      </c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</row>
    <row r="16" spans="1:41" x14ac:dyDescent="0.35">
      <c r="A16" s="18" t="s">
        <v>50</v>
      </c>
      <c r="B16" s="19">
        <f>Page_6!C15</f>
        <v>289686.85445043258</v>
      </c>
      <c r="C16" s="19">
        <f>Page_7!D15</f>
        <v>74533</v>
      </c>
      <c r="D16" s="159">
        <f>Page_7!E15</f>
        <v>0</v>
      </c>
      <c r="E16" s="19">
        <f>Page_13!F15</f>
        <v>569871.43575595319</v>
      </c>
      <c r="F16" s="159">
        <f>Page_13!G15</f>
        <v>0</v>
      </c>
      <c r="G16" s="19">
        <f t="shared" si="0"/>
        <v>569871.43575595319</v>
      </c>
      <c r="H16" s="19">
        <f>Page_13!I15</f>
        <v>24000</v>
      </c>
      <c r="I16" s="51"/>
      <c r="J16" s="19" t="s">
        <v>102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</row>
    <row r="17" spans="1:238" x14ac:dyDescent="0.35">
      <c r="A17" s="18" t="s">
        <v>51</v>
      </c>
      <c r="B17" s="19">
        <f>Page_6!C16</f>
        <v>186370.03182081305</v>
      </c>
      <c r="C17" s="19">
        <f>Page_7!D16</f>
        <v>43903</v>
      </c>
      <c r="D17" s="159">
        <f>Page_7!E16</f>
        <v>0</v>
      </c>
      <c r="E17" s="19">
        <f>Page_13!F16</f>
        <v>437209.07857692905</v>
      </c>
      <c r="F17" s="159">
        <f>Page_13!G16</f>
        <v>0</v>
      </c>
      <c r="G17" s="19">
        <f t="shared" si="0"/>
        <v>437209.07857692905</v>
      </c>
      <c r="H17" s="19">
        <f>Page_13!I16</f>
        <v>24000</v>
      </c>
      <c r="I17" s="51"/>
      <c r="J17" s="19" t="s">
        <v>102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</row>
    <row r="18" spans="1:238" x14ac:dyDescent="0.35">
      <c r="A18" s="18" t="s">
        <v>52</v>
      </c>
      <c r="B18" s="19">
        <f>Page_6!C17</f>
        <v>97693.793446754353</v>
      </c>
      <c r="C18" s="19">
        <f>Page_7!D17</f>
        <v>14019</v>
      </c>
      <c r="D18" s="159">
        <f>Page_7!E17</f>
        <v>0</v>
      </c>
      <c r="E18" s="19">
        <f>Page_13!F17</f>
        <v>563217.01087063609</v>
      </c>
      <c r="F18" s="159">
        <f>Page_13!G17</f>
        <v>0</v>
      </c>
      <c r="G18" s="19">
        <f t="shared" si="0"/>
        <v>563217.01087063609</v>
      </c>
      <c r="H18" s="19">
        <f>Page_13!I17</f>
        <v>24000</v>
      </c>
      <c r="I18" s="51"/>
      <c r="J18" s="19" t="s">
        <v>102</v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</row>
    <row r="19" spans="1:238" x14ac:dyDescent="0.35">
      <c r="A19" s="18" t="s">
        <v>53</v>
      </c>
      <c r="B19" s="19">
        <f>Page_6!C18</f>
        <v>85910.45314776522</v>
      </c>
      <c r="C19" s="19">
        <f>Page_7!D18</f>
        <v>15597</v>
      </c>
      <c r="D19" s="159">
        <f>Page_7!E18</f>
        <v>0</v>
      </c>
      <c r="E19" s="19">
        <f>Page_13!F18</f>
        <v>613419.58420564071</v>
      </c>
      <c r="F19" s="159">
        <f>Page_13!G18</f>
        <v>0</v>
      </c>
      <c r="G19" s="19">
        <f t="shared" si="0"/>
        <v>613419.58420564071</v>
      </c>
      <c r="H19" s="19">
        <f>Page_13!I18</f>
        <v>24000</v>
      </c>
      <c r="I19" s="51"/>
      <c r="J19" s="19" t="s">
        <v>102</v>
      </c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</row>
    <row r="20" spans="1:238" x14ac:dyDescent="0.35">
      <c r="A20" s="18" t="s">
        <v>54</v>
      </c>
      <c r="B20" s="19">
        <f>Page_6!C19</f>
        <v>134070.24925790218</v>
      </c>
      <c r="C20" s="19">
        <f>Page_7!D19</f>
        <v>29660</v>
      </c>
      <c r="D20" s="51">
        <f>Page_7!E19</f>
        <v>12600</v>
      </c>
      <c r="E20" s="19">
        <f>Page_13!F19</f>
        <v>515814.60763269337</v>
      </c>
      <c r="F20" s="19">
        <f>Page_13!G19</f>
        <v>905130</v>
      </c>
      <c r="G20" s="19">
        <f t="shared" si="0"/>
        <v>1420944.6076326934</v>
      </c>
      <c r="H20" s="19">
        <f>Page_13!I19</f>
        <v>24000</v>
      </c>
      <c r="I20" s="51"/>
      <c r="J20" s="19" t="s">
        <v>102</v>
      </c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</row>
    <row r="21" spans="1:238" x14ac:dyDescent="0.35">
      <c r="A21" s="18" t="s">
        <v>55</v>
      </c>
      <c r="B21" s="19">
        <f>Page_6!C20</f>
        <v>147142.88188753478</v>
      </c>
      <c r="C21" s="19">
        <f>Page_7!D20</f>
        <v>29290</v>
      </c>
      <c r="D21" s="159">
        <f>Page_7!E20</f>
        <v>0</v>
      </c>
      <c r="E21" s="19">
        <f>Page_13!F20</f>
        <v>654259.31155420665</v>
      </c>
      <c r="F21" s="19">
        <f>Page_13!G20</f>
        <v>23390</v>
      </c>
      <c r="G21" s="19">
        <f t="shared" si="0"/>
        <v>677649.31155420665</v>
      </c>
      <c r="H21" s="19">
        <f>Page_13!I20</f>
        <v>24000</v>
      </c>
      <c r="I21" s="51"/>
      <c r="J21" s="19" t="s">
        <v>102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</row>
    <row r="22" spans="1:238" x14ac:dyDescent="0.35">
      <c r="A22" s="18" t="s">
        <v>56</v>
      </c>
      <c r="B22" s="19">
        <f>Page_6!C21</f>
        <v>199390.59634419566</v>
      </c>
      <c r="C22" s="19">
        <f>Page_7!D21</f>
        <v>17842</v>
      </c>
      <c r="D22" s="51">
        <f>Page_7!E21</f>
        <v>11394</v>
      </c>
      <c r="E22" s="19">
        <f>Page_13!F21</f>
        <v>264894.10189776868</v>
      </c>
      <c r="F22" s="19">
        <f>Page_13!G21</f>
        <v>691685.92405063286</v>
      </c>
      <c r="G22" s="19">
        <f t="shared" si="0"/>
        <v>956580.02594840154</v>
      </c>
      <c r="H22" s="19">
        <f>Page_13!I21</f>
        <v>24000</v>
      </c>
      <c r="I22" s="51"/>
      <c r="J22" s="19" t="s">
        <v>102</v>
      </c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</row>
    <row r="23" spans="1:238" x14ac:dyDescent="0.35">
      <c r="A23" s="430" t="s">
        <v>57</v>
      </c>
      <c r="B23" s="19">
        <f>Page_6!C22</f>
        <v>203444.80424833045</v>
      </c>
      <c r="C23" s="19">
        <f>Page_7!D22</f>
        <v>97750</v>
      </c>
      <c r="D23" s="51">
        <f>Page_7!E22</f>
        <v>12830</v>
      </c>
      <c r="E23" s="19">
        <f>Page_13!F22</f>
        <v>739849.82647885475</v>
      </c>
      <c r="F23" s="19">
        <f>Page_13!G22</f>
        <v>926018.07594936714</v>
      </c>
      <c r="G23" s="51">
        <f t="shared" si="0"/>
        <v>1665867.9024282219</v>
      </c>
      <c r="H23" s="19">
        <f>Page_13!I22</f>
        <v>24000</v>
      </c>
      <c r="I23" s="51"/>
      <c r="J23" s="19" t="s">
        <v>102</v>
      </c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0"/>
      <c r="AA23" s="160"/>
      <c r="AB23" s="160"/>
      <c r="AC23" s="160"/>
      <c r="AD23" s="160"/>
      <c r="AE23" s="160"/>
      <c r="AF23" s="160"/>
      <c r="AG23" s="160"/>
      <c r="AH23" s="160"/>
      <c r="AI23" s="160"/>
      <c r="AJ23" s="160"/>
      <c r="AK23" s="160"/>
      <c r="AL23" s="160"/>
      <c r="AM23" s="160"/>
      <c r="AN23" s="160"/>
      <c r="AO23" s="160"/>
      <c r="AP23" s="161"/>
      <c r="AQ23" s="161"/>
      <c r="AR23" s="161"/>
      <c r="AS23" s="161"/>
      <c r="AT23" s="161"/>
      <c r="AU23" s="161"/>
      <c r="AV23" s="161"/>
      <c r="AW23" s="161"/>
      <c r="AX23" s="161"/>
      <c r="AY23" s="161"/>
      <c r="AZ23" s="161"/>
      <c r="BA23" s="161"/>
      <c r="BB23" s="161"/>
      <c r="BC23" s="161"/>
      <c r="BD23" s="161"/>
      <c r="BE23" s="161"/>
      <c r="BF23" s="161"/>
      <c r="BG23" s="161"/>
      <c r="BH23" s="161"/>
      <c r="BI23" s="161"/>
      <c r="BJ23" s="161"/>
      <c r="BK23" s="161"/>
      <c r="BL23" s="161"/>
      <c r="BM23" s="161"/>
      <c r="BN23" s="161"/>
      <c r="BO23" s="161"/>
      <c r="BP23" s="161"/>
      <c r="BQ23" s="161"/>
      <c r="BR23" s="161"/>
      <c r="BS23" s="161"/>
      <c r="BT23" s="161"/>
      <c r="BU23" s="161"/>
      <c r="BV23" s="161"/>
      <c r="BW23" s="161"/>
      <c r="BX23" s="161"/>
      <c r="BY23" s="161"/>
      <c r="BZ23" s="161"/>
      <c r="CA23" s="161"/>
      <c r="CB23" s="161"/>
      <c r="CC23" s="161"/>
      <c r="CD23" s="161"/>
      <c r="CE23" s="161"/>
      <c r="CF23" s="161"/>
      <c r="CG23" s="161"/>
      <c r="CH23" s="161"/>
      <c r="CI23" s="161"/>
      <c r="CJ23" s="161"/>
      <c r="CK23" s="161"/>
      <c r="CL23" s="161"/>
      <c r="CM23" s="161"/>
      <c r="CN23" s="161"/>
      <c r="CO23" s="161"/>
      <c r="CP23" s="161"/>
      <c r="CQ23" s="161"/>
      <c r="CR23" s="161"/>
      <c r="CS23" s="161"/>
      <c r="CT23" s="161"/>
      <c r="CU23" s="161"/>
      <c r="CV23" s="161"/>
      <c r="CW23" s="161"/>
      <c r="CX23" s="161"/>
      <c r="CY23" s="161"/>
      <c r="CZ23" s="161"/>
      <c r="DA23" s="161"/>
      <c r="DB23" s="161"/>
      <c r="DC23" s="161"/>
      <c r="DD23" s="161"/>
      <c r="DE23" s="161"/>
      <c r="DF23" s="161"/>
      <c r="DG23" s="161"/>
      <c r="DH23" s="161"/>
      <c r="DI23" s="161"/>
      <c r="DJ23" s="161"/>
      <c r="DK23" s="161"/>
      <c r="DL23" s="161"/>
      <c r="DM23" s="161"/>
      <c r="DN23" s="161"/>
      <c r="DO23" s="161"/>
      <c r="DP23" s="161"/>
      <c r="DQ23" s="161"/>
      <c r="DR23" s="161"/>
      <c r="DS23" s="161"/>
      <c r="DT23" s="161"/>
      <c r="DU23" s="161"/>
      <c r="DV23" s="161"/>
      <c r="DW23" s="161"/>
      <c r="DX23" s="161"/>
      <c r="DY23" s="161"/>
      <c r="DZ23" s="161"/>
      <c r="EA23" s="161"/>
      <c r="EB23" s="161"/>
      <c r="EC23" s="161"/>
      <c r="ED23" s="161"/>
      <c r="EE23" s="161"/>
      <c r="EF23" s="161"/>
      <c r="EG23" s="161"/>
      <c r="EH23" s="161"/>
      <c r="EI23" s="161"/>
      <c r="EJ23" s="161"/>
      <c r="EK23" s="161"/>
      <c r="EL23" s="161"/>
      <c r="EM23" s="161"/>
      <c r="EN23" s="161"/>
      <c r="EO23" s="161"/>
      <c r="EP23" s="161"/>
      <c r="EQ23" s="161"/>
      <c r="ER23" s="161"/>
      <c r="ES23" s="161"/>
      <c r="ET23" s="161"/>
      <c r="EU23" s="161"/>
      <c r="EV23" s="161"/>
      <c r="EW23" s="161"/>
      <c r="EX23" s="161"/>
      <c r="EY23" s="161"/>
      <c r="EZ23" s="161"/>
      <c r="FA23" s="161"/>
      <c r="FB23" s="161"/>
      <c r="FC23" s="161"/>
      <c r="FD23" s="161"/>
      <c r="FE23" s="161"/>
      <c r="FF23" s="161"/>
      <c r="FG23" s="161"/>
      <c r="FH23" s="161"/>
      <c r="FI23" s="161"/>
      <c r="FJ23" s="161"/>
      <c r="FK23" s="161"/>
      <c r="FL23" s="161"/>
      <c r="FM23" s="161"/>
      <c r="FN23" s="161"/>
      <c r="FO23" s="161"/>
      <c r="FP23" s="161"/>
      <c r="FQ23" s="161"/>
      <c r="FR23" s="161"/>
      <c r="FS23" s="161"/>
      <c r="FT23" s="161"/>
      <c r="FU23" s="161"/>
      <c r="FV23" s="161"/>
      <c r="FW23" s="161"/>
      <c r="FX23" s="161"/>
      <c r="FY23" s="161"/>
      <c r="FZ23" s="161"/>
      <c r="GA23" s="161"/>
      <c r="GB23" s="161"/>
      <c r="GC23" s="161"/>
      <c r="GD23" s="161"/>
      <c r="GE23" s="161"/>
      <c r="GF23" s="161"/>
      <c r="GG23" s="161"/>
      <c r="GH23" s="161"/>
      <c r="GI23" s="161"/>
      <c r="GJ23" s="161"/>
      <c r="GK23" s="161"/>
      <c r="GL23" s="161"/>
      <c r="GM23" s="161"/>
      <c r="GN23" s="161"/>
      <c r="GO23" s="161"/>
      <c r="GP23" s="161"/>
      <c r="GQ23" s="161"/>
      <c r="GR23" s="161"/>
      <c r="GS23" s="161"/>
      <c r="GT23" s="161"/>
      <c r="GU23" s="161"/>
      <c r="GV23" s="161"/>
      <c r="GW23" s="161"/>
      <c r="GX23" s="161"/>
      <c r="GY23" s="161"/>
      <c r="GZ23" s="161"/>
      <c r="HA23" s="161"/>
      <c r="HB23" s="161"/>
      <c r="HC23" s="161"/>
      <c r="HD23" s="161"/>
      <c r="HE23" s="161"/>
      <c r="HF23" s="161"/>
      <c r="HG23" s="161"/>
      <c r="HH23" s="161"/>
      <c r="HI23" s="161"/>
      <c r="HJ23" s="161"/>
      <c r="HK23" s="161"/>
      <c r="HL23" s="161"/>
      <c r="HM23" s="161"/>
      <c r="HN23" s="161"/>
      <c r="HO23" s="161"/>
      <c r="HP23" s="161"/>
      <c r="HQ23" s="161"/>
      <c r="HR23" s="161"/>
      <c r="HS23" s="161"/>
      <c r="HT23" s="161"/>
      <c r="HU23" s="161"/>
      <c r="HV23" s="161"/>
      <c r="HW23" s="161"/>
      <c r="HX23" s="161"/>
      <c r="HY23" s="161"/>
      <c r="HZ23" s="161"/>
      <c r="IA23" s="161"/>
      <c r="IB23" s="161"/>
      <c r="IC23" s="161"/>
      <c r="ID23" s="161"/>
    </row>
    <row r="24" spans="1:238" x14ac:dyDescent="0.35">
      <c r="A24" s="18" t="s">
        <v>58</v>
      </c>
      <c r="B24" s="19">
        <f>Page_6!C23</f>
        <v>230827.71857969783</v>
      </c>
      <c r="C24" s="19">
        <f>Page_7!D23</f>
        <v>51424</v>
      </c>
      <c r="D24" s="51">
        <f>Page_7!E23</f>
        <v>12416</v>
      </c>
      <c r="E24" s="19">
        <f>Page_13!F23</f>
        <v>537645.74479789322</v>
      </c>
      <c r="F24" s="19">
        <f>Page_13!G23</f>
        <v>592629.8860759493</v>
      </c>
      <c r="G24" s="19">
        <f t="shared" si="0"/>
        <v>1130275.6308738426</v>
      </c>
      <c r="H24" s="19">
        <f>Page_13!I23</f>
        <v>24000</v>
      </c>
      <c r="I24" s="51"/>
      <c r="J24" s="19" t="s">
        <v>102</v>
      </c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</row>
    <row r="25" spans="1:238" x14ac:dyDescent="0.35">
      <c r="A25" s="18" t="s">
        <v>59</v>
      </c>
      <c r="B25" s="19">
        <f>Page_6!C24</f>
        <v>161415.39912407825</v>
      </c>
      <c r="C25" s="19">
        <f>Page_7!D24</f>
        <v>31838</v>
      </c>
      <c r="D25" s="51">
        <f>Page_7!E24</f>
        <v>2659</v>
      </c>
      <c r="E25" s="19">
        <f>Page_13!F24</f>
        <v>350088.50337676943</v>
      </c>
      <c r="F25" s="19">
        <f>Page_13!G24</f>
        <v>158910.27088607594</v>
      </c>
      <c r="G25" s="19">
        <f t="shared" si="0"/>
        <v>508998.7742628454</v>
      </c>
      <c r="H25" s="19">
        <f>Page_13!I24</f>
        <v>24000</v>
      </c>
      <c r="I25" s="51"/>
      <c r="J25" s="19" t="s">
        <v>102</v>
      </c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</row>
    <row r="26" spans="1:238" x14ac:dyDescent="0.35">
      <c r="A26" s="18" t="s">
        <v>111</v>
      </c>
      <c r="B26" s="19">
        <f>Page_6!C25</f>
        <v>183682.52425085474</v>
      </c>
      <c r="C26" s="19">
        <f>Page_7!D25</f>
        <v>52018</v>
      </c>
      <c r="D26" s="51">
        <f>Page_7!E25</f>
        <v>7458</v>
      </c>
      <c r="E26" s="19">
        <f>Page_13!F25</f>
        <v>632812.37461335887</v>
      </c>
      <c r="F26" s="19">
        <f>Page_13!G25</f>
        <v>185153</v>
      </c>
      <c r="G26" s="19">
        <f>SUM(E26:F26)</f>
        <v>817965.37461335887</v>
      </c>
      <c r="H26" s="19">
        <f>Page_13!I25</f>
        <v>24000</v>
      </c>
      <c r="I26" s="51"/>
      <c r="J26" s="19" t="s">
        <v>102</v>
      </c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</row>
    <row r="27" spans="1:238" x14ac:dyDescent="0.35">
      <c r="A27" s="18" t="s">
        <v>60</v>
      </c>
      <c r="B27" s="19">
        <f>Page_6!C26</f>
        <v>145667.00655310869</v>
      </c>
      <c r="C27" s="19">
        <f>Page_7!D26</f>
        <v>43475</v>
      </c>
      <c r="D27" s="51">
        <f>Page_7!E26</f>
        <v>4430</v>
      </c>
      <c r="E27" s="19">
        <f>Page_13!F26</f>
        <v>817245.12393704115</v>
      </c>
      <c r="F27" s="19">
        <f>Page_13!G26</f>
        <v>449346.79240506329</v>
      </c>
      <c r="G27" s="19">
        <f t="shared" si="0"/>
        <v>1266591.9163421043</v>
      </c>
      <c r="H27" s="19">
        <f>Page_13!I26</f>
        <v>24000</v>
      </c>
      <c r="I27" s="51"/>
      <c r="J27" s="19" t="s">
        <v>102</v>
      </c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</row>
    <row r="28" spans="1:238" x14ac:dyDescent="0.35">
      <c r="A28" s="18" t="s">
        <v>61</v>
      </c>
      <c r="B28" s="19">
        <f>Page_6!C27</f>
        <v>164535.96145847609</v>
      </c>
      <c r="C28" s="19">
        <f>Page_7!D27</f>
        <v>32565</v>
      </c>
      <c r="D28" s="51">
        <f>Page_7!E27</f>
        <v>3586</v>
      </c>
      <c r="E28" s="19">
        <f>Page_13!F27</f>
        <v>627514.89389892714</v>
      </c>
      <c r="F28" s="19">
        <f>Page_13!G27</f>
        <v>47391</v>
      </c>
      <c r="G28" s="19">
        <f t="shared" si="0"/>
        <v>674905.89389892714</v>
      </c>
      <c r="H28" s="19">
        <f>Page_13!I27</f>
        <v>24000</v>
      </c>
      <c r="I28" s="51"/>
      <c r="J28" s="19" t="s">
        <v>102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</row>
    <row r="29" spans="1:238" x14ac:dyDescent="0.35">
      <c r="A29" s="18" t="s">
        <v>62</v>
      </c>
      <c r="B29" s="19">
        <f>Page_6!C28</f>
        <v>182927.31458243696</v>
      </c>
      <c r="C29" s="19">
        <f>Page_7!D28</f>
        <v>37146</v>
      </c>
      <c r="D29" s="51">
        <f>Page_7!E28</f>
        <v>8285</v>
      </c>
      <c r="E29" s="19">
        <f>Page_13!F28</f>
        <v>593867.87398644839</v>
      </c>
      <c r="F29" s="19">
        <f>Page_13!G28</f>
        <v>99820.59620253164</v>
      </c>
      <c r="G29" s="19">
        <f t="shared" si="0"/>
        <v>693688.47018897999</v>
      </c>
      <c r="H29" s="19">
        <f>Page_13!I28</f>
        <v>24000</v>
      </c>
      <c r="I29" s="51"/>
      <c r="J29" s="19" t="s">
        <v>102</v>
      </c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</row>
    <row r="30" spans="1:238" x14ac:dyDescent="0.35">
      <c r="A30" s="18" t="s">
        <v>63</v>
      </c>
      <c r="B30" s="19">
        <f>Page_6!C29</f>
        <v>208543.46805110475</v>
      </c>
      <c r="C30" s="19">
        <f>Page_7!D29</f>
        <v>51330</v>
      </c>
      <c r="D30" s="51">
        <f>Page_7!E29</f>
        <v>8018</v>
      </c>
      <c r="E30" s="19">
        <f>Page_13!F29</f>
        <v>549911.75086956518</v>
      </c>
      <c r="F30" s="19">
        <f>Page_13!G29</f>
        <v>246436.16708860762</v>
      </c>
      <c r="G30" s="19">
        <f t="shared" si="0"/>
        <v>796347.91795817274</v>
      </c>
      <c r="H30" s="19">
        <f>Page_13!I29</f>
        <v>24000</v>
      </c>
      <c r="I30" s="51"/>
      <c r="J30" s="19" t="s">
        <v>102</v>
      </c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</row>
    <row r="31" spans="1:238" s="164" customFormat="1" x14ac:dyDescent="0.35">
      <c r="A31" s="25" t="s">
        <v>64</v>
      </c>
      <c r="B31" s="19">
        <f>Page_6!C30</f>
        <v>228511.23913043478</v>
      </c>
      <c r="C31" s="19">
        <f>Page_7!D30</f>
        <v>40005</v>
      </c>
      <c r="D31" s="51">
        <f>Page_7!E30</f>
        <v>11596</v>
      </c>
      <c r="E31" s="19">
        <f>Page_13!F30</f>
        <v>669702.60181360622</v>
      </c>
      <c r="F31" s="19">
        <f>Page_13!G30</f>
        <v>93333</v>
      </c>
      <c r="G31" s="162">
        <f t="shared" si="0"/>
        <v>763035.60181360622</v>
      </c>
      <c r="H31" s="19">
        <f>Page_13!I30</f>
        <v>24000</v>
      </c>
      <c r="I31" s="163"/>
      <c r="J31" s="162" t="s">
        <v>102</v>
      </c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</row>
    <row r="32" spans="1:238" s="164" customFormat="1" x14ac:dyDescent="0.35">
      <c r="A32" s="25" t="s">
        <v>65</v>
      </c>
      <c r="B32" s="19">
        <f>Page_6!C31</f>
        <v>180079.23913043478</v>
      </c>
      <c r="C32" s="19">
        <f>Page_7!D31</f>
        <v>34881</v>
      </c>
      <c r="D32" s="51">
        <f>Page_7!E31</f>
        <v>7367</v>
      </c>
      <c r="E32" s="19">
        <f>Page_13!F31</f>
        <v>546646.70558149496</v>
      </c>
      <c r="F32" s="19">
        <f>Page_13!G31</f>
        <v>667677.39873417723</v>
      </c>
      <c r="G32" s="162">
        <f>SUM(E32:F32)</f>
        <v>1214324.1043156721</v>
      </c>
      <c r="H32" s="19">
        <f>Page_13!I31</f>
        <v>24000</v>
      </c>
      <c r="I32" s="163"/>
      <c r="J32" s="162" t="s">
        <v>102</v>
      </c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  <c r="AL32" s="127"/>
      <c r="AM32" s="127"/>
      <c r="AN32" s="127"/>
      <c r="AO32" s="127"/>
    </row>
    <row r="33" spans="1:41" x14ac:dyDescent="0.35">
      <c r="A33" s="25" t="s">
        <v>66</v>
      </c>
      <c r="B33" s="19">
        <f>Page_6!C32</f>
        <v>181996.5</v>
      </c>
      <c r="C33" s="19">
        <f>Page_7!D32</f>
        <v>30689</v>
      </c>
      <c r="D33" s="51">
        <f>Page_7!E32</f>
        <v>7503</v>
      </c>
      <c r="E33" s="19">
        <f>Page_13!F32</f>
        <v>532375.27132858895</v>
      </c>
      <c r="F33" s="19">
        <f>Page_13!G32</f>
        <v>467812.7734177215</v>
      </c>
      <c r="G33" s="162">
        <f>SUM(E33:F33)</f>
        <v>1000188.0447463105</v>
      </c>
      <c r="H33" s="19">
        <f>Page_13!I32</f>
        <v>24000</v>
      </c>
      <c r="I33" s="163"/>
      <c r="J33" s="19" t="s">
        <v>102</v>
      </c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</row>
    <row r="34" spans="1:41" x14ac:dyDescent="0.35">
      <c r="A34" s="18" t="s">
        <v>67</v>
      </c>
      <c r="B34" s="19">
        <f>Page_6!C33</f>
        <v>175805</v>
      </c>
      <c r="C34" s="19">
        <f>Page_7!D33</f>
        <v>30959</v>
      </c>
      <c r="D34" s="51">
        <f>Page_7!E33</f>
        <v>8193</v>
      </c>
      <c r="E34" s="19">
        <f>Page_13!F33</f>
        <v>457135.92239568522</v>
      </c>
      <c r="F34" s="19">
        <f>Page_13!G33</f>
        <v>16717</v>
      </c>
      <c r="G34" s="19">
        <f t="shared" si="0"/>
        <v>473852.92239568522</v>
      </c>
      <c r="H34" s="19">
        <f>Page_13!I33</f>
        <v>24000</v>
      </c>
      <c r="I34" s="51"/>
      <c r="J34" s="19" t="s">
        <v>102</v>
      </c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</row>
    <row r="35" spans="1:41" x14ac:dyDescent="0.35">
      <c r="A35" s="18" t="s">
        <v>68</v>
      </c>
      <c r="B35" s="19">
        <f>Page_6!C34</f>
        <v>94426.739130434784</v>
      </c>
      <c r="C35" s="19">
        <f>Page_7!D34</f>
        <v>13670</v>
      </c>
      <c r="D35" s="51">
        <f>Page_7!E34</f>
        <v>8533</v>
      </c>
      <c r="E35" s="19">
        <f>Page_13!F34</f>
        <v>553214.19735265477</v>
      </c>
      <c r="F35" s="19">
        <f>Page_13!G34</f>
        <v>51454</v>
      </c>
      <c r="G35" s="19">
        <f t="shared" si="0"/>
        <v>604668.19735265477</v>
      </c>
      <c r="H35" s="19">
        <f>Page_13!I34</f>
        <v>24000</v>
      </c>
      <c r="I35" s="51"/>
      <c r="J35" s="19" t="s">
        <v>102</v>
      </c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</row>
    <row r="36" spans="1:41" x14ac:dyDescent="0.35">
      <c r="A36" s="18" t="s">
        <v>69</v>
      </c>
      <c r="B36" s="19">
        <f>Page_6!C35</f>
        <v>55540.260869565216</v>
      </c>
      <c r="C36" s="19">
        <f>Page_7!D35</f>
        <v>14461</v>
      </c>
      <c r="D36" s="51">
        <f>Page_7!E35</f>
        <v>2400</v>
      </c>
      <c r="E36" s="19">
        <f>Page_13!F35</f>
        <v>563896.80762568384</v>
      </c>
      <c r="F36" s="19">
        <f>Page_13!G35</f>
        <v>235584.46708860761</v>
      </c>
      <c r="G36" s="19">
        <f t="shared" si="0"/>
        <v>799481.27471429144</v>
      </c>
      <c r="H36" s="19">
        <f>Page_13!I35</f>
        <v>24000</v>
      </c>
      <c r="I36" s="51"/>
      <c r="J36" s="19" t="s">
        <v>102</v>
      </c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</row>
    <row r="37" spans="1:41" x14ac:dyDescent="0.35">
      <c r="A37" s="18" t="s">
        <v>70</v>
      </c>
      <c r="B37" s="19">
        <f>Page_6!C36</f>
        <v>66832.15217391304</v>
      </c>
      <c r="C37" s="19">
        <f>Page_7!D36</f>
        <v>23462</v>
      </c>
      <c r="D37" s="51">
        <f>Page_7!E36</f>
        <v>7968</v>
      </c>
      <c r="E37" s="19">
        <f>Page_13!F36</f>
        <v>615795.8945164918</v>
      </c>
      <c r="F37" s="19">
        <f>Page_13!G36</f>
        <v>584055.5</v>
      </c>
      <c r="G37" s="19">
        <f t="shared" si="0"/>
        <v>1199851.3945164918</v>
      </c>
      <c r="H37" s="19">
        <f>Page_13!I36</f>
        <v>24000</v>
      </c>
      <c r="I37" s="51"/>
      <c r="J37" s="19" t="s">
        <v>102</v>
      </c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</row>
    <row r="38" spans="1:41" x14ac:dyDescent="0.35">
      <c r="A38" s="18" t="s">
        <v>71</v>
      </c>
      <c r="B38" s="19">
        <f>Page_6!C37</f>
        <v>152648.82608695651</v>
      </c>
      <c r="C38" s="19">
        <f>Page_7!D37</f>
        <v>22437</v>
      </c>
      <c r="D38" s="51">
        <f>Page_7!E37</f>
        <v>6032</v>
      </c>
      <c r="E38" s="19">
        <f>Page_13!F37</f>
        <v>426116.44815217389</v>
      </c>
      <c r="F38" s="19">
        <f>Page_13!G37</f>
        <v>401073.8</v>
      </c>
      <c r="G38" s="19">
        <f t="shared" si="0"/>
        <v>827190.24815217382</v>
      </c>
      <c r="H38" s="19">
        <f>Page_13!I37</f>
        <v>24000</v>
      </c>
      <c r="I38" s="51"/>
      <c r="J38" s="19" t="s">
        <v>102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</row>
    <row r="39" spans="1:41" x14ac:dyDescent="0.35">
      <c r="A39" s="18" t="s">
        <v>72</v>
      </c>
      <c r="B39" s="19">
        <f>Page_6!C38</f>
        <v>128284</v>
      </c>
      <c r="C39" s="19">
        <f>Page_7!D38</f>
        <v>27047</v>
      </c>
      <c r="D39" s="159">
        <f>Page_7!E38</f>
        <v>0</v>
      </c>
      <c r="E39" s="19">
        <f>Page_13!F38</f>
        <v>570373.07479010487</v>
      </c>
      <c r="F39" s="19">
        <f>Page_13!G38</f>
        <v>28732</v>
      </c>
      <c r="G39" s="19">
        <f t="shared" si="0"/>
        <v>599105.07479010487</v>
      </c>
      <c r="H39" s="19">
        <f>Page_13!I38</f>
        <v>24000</v>
      </c>
      <c r="I39" s="51"/>
      <c r="J39" s="19" t="s">
        <v>102</v>
      </c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</row>
    <row r="40" spans="1:41" x14ac:dyDescent="0.35">
      <c r="A40" s="18" t="s">
        <v>73</v>
      </c>
      <c r="B40" s="19">
        <f>Page_6!C39</f>
        <v>52938.5</v>
      </c>
      <c r="C40" s="19">
        <f>Page_7!D39</f>
        <v>16120</v>
      </c>
      <c r="D40" s="159">
        <f>Page_7!E39</f>
        <v>0</v>
      </c>
      <c r="E40" s="19">
        <f>Page_13!F39</f>
        <v>422684.67050224898</v>
      </c>
      <c r="F40" s="19">
        <f>Page_13!G39</f>
        <v>1594</v>
      </c>
      <c r="G40" s="19">
        <f t="shared" si="0"/>
        <v>424278.67050224898</v>
      </c>
      <c r="H40" s="19">
        <f>Page_13!I39</f>
        <v>24000</v>
      </c>
      <c r="I40" s="51"/>
      <c r="J40" s="19" t="s">
        <v>102</v>
      </c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</row>
    <row r="41" spans="1:41" x14ac:dyDescent="0.35">
      <c r="A41" s="18" t="s">
        <v>74</v>
      </c>
      <c r="B41" s="19">
        <f>Page_6!C40</f>
        <v>13698</v>
      </c>
      <c r="C41" s="19">
        <f>Page_7!D40</f>
        <v>-187</v>
      </c>
      <c r="D41" s="159">
        <f>Page_7!E40</f>
        <v>0</v>
      </c>
      <c r="E41" s="19">
        <f>Page_13!F40</f>
        <v>84027</v>
      </c>
      <c r="F41" s="19">
        <f>Page_13!G40</f>
        <v>2505</v>
      </c>
      <c r="G41" s="19">
        <f t="shared" si="0"/>
        <v>86532</v>
      </c>
      <c r="H41" s="19">
        <f>Page_13!I40</f>
        <v>24000</v>
      </c>
      <c r="I41" s="51"/>
      <c r="J41" s="19" t="s">
        <v>102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</row>
    <row r="42" spans="1:41" x14ac:dyDescent="0.35">
      <c r="A42" s="18" t="s">
        <v>75</v>
      </c>
      <c r="B42" s="19">
        <f>Page_6!C41</f>
        <v>14086</v>
      </c>
      <c r="C42" s="19">
        <f>Page_7!D41</f>
        <v>1643</v>
      </c>
      <c r="D42" s="159">
        <f>Page_7!E41</f>
        <v>0</v>
      </c>
      <c r="E42" s="19">
        <f>Page_13!F41</f>
        <v>17290</v>
      </c>
      <c r="F42" s="159">
        <f>Page_13!G41</f>
        <v>0</v>
      </c>
      <c r="G42" s="19">
        <f t="shared" si="0"/>
        <v>17290</v>
      </c>
      <c r="H42" s="19">
        <f>Page_13!I41</f>
        <v>24000</v>
      </c>
      <c r="I42" s="51"/>
      <c r="J42" s="19" t="s">
        <v>102</v>
      </c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</row>
    <row r="43" spans="1:41" x14ac:dyDescent="0.35">
      <c r="A43" s="18" t="s">
        <v>76</v>
      </c>
      <c r="B43" s="19">
        <f>Page_6!C42</f>
        <v>9645</v>
      </c>
      <c r="C43" s="19">
        <f>Page_7!D42</f>
        <v>1706</v>
      </c>
      <c r="D43" s="51">
        <f>Page_7!E42</f>
        <v>999</v>
      </c>
      <c r="E43" s="19">
        <f>Page_13!F42</f>
        <v>354875</v>
      </c>
      <c r="F43" s="19">
        <f>Page_13!G42</f>
        <v>75443</v>
      </c>
      <c r="G43" s="19">
        <f t="shared" si="0"/>
        <v>430318</v>
      </c>
      <c r="H43" s="19">
        <f>Page_13!I42</f>
        <v>24000</v>
      </c>
      <c r="I43" s="51"/>
      <c r="J43" s="19" t="s">
        <v>102</v>
      </c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</row>
    <row r="44" spans="1:41" x14ac:dyDescent="0.35">
      <c r="A44" s="18" t="s">
        <v>77</v>
      </c>
      <c r="B44" s="19">
        <f>Page_6!C43</f>
        <v>62630</v>
      </c>
      <c r="C44" s="19">
        <f>Page_7!D43</f>
        <v>11268</v>
      </c>
      <c r="D44" s="159">
        <f>Page_7!E43</f>
        <v>0</v>
      </c>
      <c r="E44" s="19">
        <f>Page_13!F43</f>
        <v>428857</v>
      </c>
      <c r="F44" s="19">
        <f>Page_13!G43</f>
        <v>396801</v>
      </c>
      <c r="G44" s="19">
        <f t="shared" si="0"/>
        <v>825658</v>
      </c>
      <c r="H44" s="19">
        <f>Page_13!I43</f>
        <v>24000</v>
      </c>
      <c r="I44" s="51"/>
      <c r="J44" s="19" t="s">
        <v>102</v>
      </c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</row>
    <row r="45" spans="1:41" x14ac:dyDescent="0.35">
      <c r="A45" s="18" t="s">
        <v>78</v>
      </c>
      <c r="B45" s="19">
        <f>Page_6!C44</f>
        <v>161923</v>
      </c>
      <c r="C45" s="19">
        <f>Page_7!D44</f>
        <v>51737</v>
      </c>
      <c r="D45" s="51">
        <f>Page_7!E44</f>
        <v>665</v>
      </c>
      <c r="E45" s="19">
        <f>Page_13!F44</f>
        <v>634691</v>
      </c>
      <c r="F45" s="19">
        <f>Page_13!G44</f>
        <v>142042</v>
      </c>
      <c r="G45" s="19">
        <f t="shared" si="0"/>
        <v>776733</v>
      </c>
      <c r="H45" s="19">
        <f>Page_13!I44</f>
        <v>24000</v>
      </c>
      <c r="I45" s="51"/>
      <c r="J45" s="19" t="s">
        <v>102</v>
      </c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</row>
    <row r="46" spans="1:41" x14ac:dyDescent="0.35">
      <c r="A46" s="18" t="s">
        <v>79</v>
      </c>
      <c r="B46" s="19">
        <f>Page_6!C45</f>
        <v>147550</v>
      </c>
      <c r="C46" s="19">
        <f>Page_7!D45</f>
        <v>38235</v>
      </c>
      <c r="D46" s="51">
        <f>Page_7!E45</f>
        <v>8861</v>
      </c>
      <c r="E46" s="19">
        <f>Page_13!F45</f>
        <v>494744</v>
      </c>
      <c r="F46" s="19">
        <f>Page_13!G45</f>
        <v>638261.16</v>
      </c>
      <c r="G46" s="19">
        <f>SUM(E46:F46)</f>
        <v>1133005.1600000001</v>
      </c>
      <c r="H46" s="19">
        <f>Page_13!I45</f>
        <v>24000</v>
      </c>
      <c r="I46" s="51"/>
      <c r="J46" s="19" t="s">
        <v>102</v>
      </c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</row>
    <row r="47" spans="1:41" x14ac:dyDescent="0.35">
      <c r="A47" s="18" t="s">
        <v>80</v>
      </c>
      <c r="B47" s="19">
        <f>Page_6!C46</f>
        <v>108211</v>
      </c>
      <c r="C47" s="19">
        <f>Page_7!D46</f>
        <v>14834</v>
      </c>
      <c r="D47" s="51">
        <f>Page_7!E46</f>
        <v>0</v>
      </c>
      <c r="E47" s="19">
        <f>Page_13!F46</f>
        <v>539329</v>
      </c>
      <c r="F47" s="19">
        <f>Page_13!G46</f>
        <v>-19960</v>
      </c>
      <c r="G47" s="19">
        <f t="shared" si="0"/>
        <v>519369</v>
      </c>
      <c r="H47" s="19">
        <f>Page_13!I46</f>
        <v>24000</v>
      </c>
      <c r="I47" s="51"/>
      <c r="J47" s="19" t="s">
        <v>102</v>
      </c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</row>
    <row r="48" spans="1:41" x14ac:dyDescent="0.35">
      <c r="A48" s="18" t="s">
        <v>81</v>
      </c>
      <c r="B48" s="19">
        <f>Page_6!C47</f>
        <v>36800</v>
      </c>
      <c r="C48" s="19">
        <f>Page_7!D47</f>
        <v>2689</v>
      </c>
      <c r="D48" s="51">
        <f>Page_7!E47</f>
        <v>0</v>
      </c>
      <c r="E48" s="19">
        <f>Page_13!F47</f>
        <v>162067</v>
      </c>
      <c r="F48" s="19">
        <f>Page_13!G47</f>
        <v>3352</v>
      </c>
      <c r="G48" s="19">
        <f t="shared" si="0"/>
        <v>165419</v>
      </c>
      <c r="H48" s="19">
        <f>Page_13!I47</f>
        <v>24000</v>
      </c>
      <c r="I48" s="51"/>
      <c r="J48" s="19" t="s">
        <v>102</v>
      </c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</row>
    <row r="49" spans="1:41" x14ac:dyDescent="0.35">
      <c r="A49" s="18" t="s">
        <v>82</v>
      </c>
      <c r="B49" s="19">
        <f>Page_6!C48</f>
        <v>77406.42857142858</v>
      </c>
      <c r="C49" s="19">
        <f>Page_7!D48</f>
        <v>20997</v>
      </c>
      <c r="D49" s="51">
        <f>Page_7!E48</f>
        <v>2000</v>
      </c>
      <c r="E49" s="19">
        <f>Page_13!F48</f>
        <v>375979.00285714288</v>
      </c>
      <c r="F49" s="19">
        <f>Page_13!G48</f>
        <v>176562.73714285714</v>
      </c>
      <c r="G49" s="19">
        <f t="shared" si="0"/>
        <v>552541.74</v>
      </c>
      <c r="H49" s="19">
        <f>Page_13!I48</f>
        <v>24000</v>
      </c>
      <c r="I49" s="51"/>
      <c r="J49" s="19" t="s">
        <v>102</v>
      </c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</row>
    <row r="50" spans="1:41" x14ac:dyDescent="0.35">
      <c r="A50" s="18" t="s">
        <v>83</v>
      </c>
      <c r="B50" s="19">
        <f>Page_6!C49</f>
        <v>77406.42857142858</v>
      </c>
      <c r="C50" s="19">
        <f>Page_7!D49</f>
        <v>20997</v>
      </c>
      <c r="D50" s="51">
        <f>Page_7!E49</f>
        <v>2000</v>
      </c>
      <c r="E50" s="19">
        <f>Page_13!F49</f>
        <v>375979.00285714288</v>
      </c>
      <c r="F50" s="19">
        <f>Page_13!G49</f>
        <v>176562.73714285714</v>
      </c>
      <c r="G50" s="19">
        <f t="shared" si="0"/>
        <v>552541.74</v>
      </c>
      <c r="H50" s="19">
        <f>Page_13!I49</f>
        <v>24000</v>
      </c>
      <c r="I50" s="51"/>
      <c r="J50" s="19" t="s">
        <v>102</v>
      </c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1:41" x14ac:dyDescent="0.35">
      <c r="A51" s="18" t="s">
        <v>84</v>
      </c>
      <c r="B51" s="19">
        <f>Page_6!C50</f>
        <v>77406.42857142858</v>
      </c>
      <c r="C51" s="19">
        <f>Page_7!D50</f>
        <v>20997</v>
      </c>
      <c r="D51" s="51">
        <f>Page_7!E50</f>
        <v>2000</v>
      </c>
      <c r="E51" s="19">
        <f>Page_13!F50</f>
        <v>375979.00285714288</v>
      </c>
      <c r="F51" s="19">
        <f>Page_13!G50</f>
        <v>176562.73714285714</v>
      </c>
      <c r="G51" s="19">
        <f t="shared" si="0"/>
        <v>552541.74</v>
      </c>
      <c r="H51" s="19">
        <f>Page_13!I50</f>
        <v>24000</v>
      </c>
      <c r="I51" s="51"/>
      <c r="J51" s="19" t="s">
        <v>102</v>
      </c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</row>
    <row r="52" spans="1:41" x14ac:dyDescent="0.35">
      <c r="A52" s="18" t="s">
        <v>85</v>
      </c>
      <c r="B52" s="19">
        <f>Page_6!C51</f>
        <v>77406.42857142858</v>
      </c>
      <c r="C52" s="19">
        <f>Page_7!D51</f>
        <v>21007</v>
      </c>
      <c r="D52" s="51">
        <f>Page_7!E51</f>
        <v>2000</v>
      </c>
      <c r="E52" s="19">
        <f>Page_13!F51</f>
        <v>375979.00285714288</v>
      </c>
      <c r="F52" s="19">
        <f>Page_13!G51</f>
        <v>176562.73714285714</v>
      </c>
      <c r="G52" s="19">
        <f t="shared" si="0"/>
        <v>552541.74</v>
      </c>
      <c r="H52" s="19">
        <f>Page_13!I51</f>
        <v>24000</v>
      </c>
      <c r="I52" s="51"/>
      <c r="J52" s="19" t="s">
        <v>102</v>
      </c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</row>
    <row r="53" spans="1:41" x14ac:dyDescent="0.35">
      <c r="A53" s="18" t="s">
        <v>86</v>
      </c>
      <c r="B53" s="19">
        <f>Page_6!C52</f>
        <v>77406.42857142858</v>
      </c>
      <c r="C53" s="19">
        <f>Page_7!D52</f>
        <v>21007</v>
      </c>
      <c r="D53" s="51">
        <f>Page_7!E52</f>
        <v>2000</v>
      </c>
      <c r="E53" s="19">
        <f>Page_13!F52</f>
        <v>375979.00285714288</v>
      </c>
      <c r="F53" s="19">
        <f>Page_13!G52</f>
        <v>176562.73714285714</v>
      </c>
      <c r="G53" s="19">
        <f t="shared" si="0"/>
        <v>552541.74</v>
      </c>
      <c r="H53" s="19">
        <f>Page_13!I52</f>
        <v>24000</v>
      </c>
      <c r="I53" s="51"/>
      <c r="J53" s="19" t="s">
        <v>102</v>
      </c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</row>
    <row r="54" spans="1:41" x14ac:dyDescent="0.35">
      <c r="A54" s="18" t="s">
        <v>87</v>
      </c>
      <c r="B54" s="19">
        <f>Page_6!C53</f>
        <v>77406.42857142858</v>
      </c>
      <c r="C54" s="19">
        <f>Page_7!D53</f>
        <v>21007</v>
      </c>
      <c r="D54" s="51">
        <f>Page_7!E53</f>
        <v>2000</v>
      </c>
      <c r="E54" s="19">
        <f>Page_13!F53</f>
        <v>375979.00285714288</v>
      </c>
      <c r="F54" s="19">
        <f>Page_13!G53</f>
        <v>176562.73714285714</v>
      </c>
      <c r="G54" s="19">
        <f t="shared" si="0"/>
        <v>552541.74</v>
      </c>
      <c r="H54" s="19">
        <f>Page_13!I53</f>
        <v>24000</v>
      </c>
      <c r="I54" s="51"/>
      <c r="J54" s="19" t="s">
        <v>102</v>
      </c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</row>
    <row r="55" spans="1:41" x14ac:dyDescent="0.35">
      <c r="A55" s="18" t="s">
        <v>88</v>
      </c>
      <c r="B55" s="19">
        <f>Page_6!C54</f>
        <v>77406.42857142858</v>
      </c>
      <c r="C55" s="19">
        <f>Page_7!D54</f>
        <v>21007</v>
      </c>
      <c r="D55" s="51">
        <f>Page_7!E54</f>
        <v>2000</v>
      </c>
      <c r="E55" s="19">
        <f>Page_13!F54</f>
        <v>375979.00285714288</v>
      </c>
      <c r="F55" s="19">
        <f>Page_13!G54</f>
        <v>176562.73714285714</v>
      </c>
      <c r="G55" s="19">
        <f t="shared" si="0"/>
        <v>552541.74</v>
      </c>
      <c r="H55" s="19">
        <f>Page_13!I54</f>
        <v>24000</v>
      </c>
      <c r="I55" s="51"/>
      <c r="J55" s="19" t="s">
        <v>102</v>
      </c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</row>
    <row r="56" spans="1:41" x14ac:dyDescent="0.35">
      <c r="A56" s="18" t="s">
        <v>89</v>
      </c>
      <c r="B56" s="19">
        <f>Page_6!C55</f>
        <v>77406.42857142858</v>
      </c>
      <c r="C56" s="19">
        <f>Page_7!D55</f>
        <v>21007</v>
      </c>
      <c r="D56" s="51">
        <f>Page_7!E55</f>
        <v>2000</v>
      </c>
      <c r="E56" s="19">
        <f>Page_13!F55</f>
        <v>375979.00285714288</v>
      </c>
      <c r="F56" s="19">
        <f>Page_13!G55</f>
        <v>176562.73714285714</v>
      </c>
      <c r="G56" s="19">
        <f t="shared" si="0"/>
        <v>552541.74</v>
      </c>
      <c r="H56" s="19">
        <f>Page_13!I55</f>
        <v>24000</v>
      </c>
      <c r="I56" s="51"/>
      <c r="J56" s="19" t="s">
        <v>102</v>
      </c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</row>
    <row r="57" spans="1:41" ht="16" thickBot="1" x14ac:dyDescent="0.4">
      <c r="A57" s="18" t="s">
        <v>90</v>
      </c>
      <c r="B57" s="19">
        <f>Page_6!C56</f>
        <v>77406.42857142858</v>
      </c>
      <c r="C57" s="19">
        <f>Page_7!D56</f>
        <v>21007</v>
      </c>
      <c r="D57" s="51">
        <f>Page_7!E56</f>
        <v>2000</v>
      </c>
      <c r="E57" s="19">
        <f>Page_13!F56</f>
        <v>375979.00285714288</v>
      </c>
      <c r="F57" s="19">
        <f>Page_13!G56</f>
        <v>176562.73714285714</v>
      </c>
      <c r="G57" s="19">
        <f t="shared" si="0"/>
        <v>552541.74</v>
      </c>
      <c r="H57" s="19">
        <f>Page_13!I56</f>
        <v>24000</v>
      </c>
      <c r="I57" s="51"/>
      <c r="J57" s="19" t="s">
        <v>102</v>
      </c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</row>
    <row r="58" spans="1:41" x14ac:dyDescent="0.35">
      <c r="A58" s="18" t="s">
        <v>91</v>
      </c>
      <c r="B58" s="27">
        <f t="shared" ref="B58:H58" si="1">SUM(B8:B57)</f>
        <v>8033982.9343238026</v>
      </c>
      <c r="C58" s="27">
        <f t="shared" si="1"/>
        <v>1895135</v>
      </c>
      <c r="D58" s="27">
        <f t="shared" si="1"/>
        <v>222473</v>
      </c>
      <c r="E58" s="27">
        <f t="shared" si="1"/>
        <v>24829365.277660765</v>
      </c>
      <c r="F58" s="27">
        <f t="shared" si="1"/>
        <v>13696228.246184448</v>
      </c>
      <c r="G58" s="27">
        <f t="shared" si="1"/>
        <v>38525593.523845248</v>
      </c>
      <c r="H58" s="27">
        <f t="shared" si="1"/>
        <v>1200000</v>
      </c>
      <c r="I58" s="51"/>
      <c r="J58" s="1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</row>
    <row r="59" spans="1:41" x14ac:dyDescent="0.35">
      <c r="A59" s="18" t="str">
        <f>Page_21!A58</f>
        <v>7 - Year Hist Avg (A-12)</v>
      </c>
      <c r="B59" s="19">
        <f>Page_6!C58</f>
        <v>77406.42857142858</v>
      </c>
      <c r="C59" s="19">
        <f>Page_7!D58</f>
        <v>21007</v>
      </c>
      <c r="D59" s="51">
        <f>Page_7!E58</f>
        <v>2000</v>
      </c>
      <c r="E59" s="19">
        <f>Page_13!F58</f>
        <v>375979.00285714288</v>
      </c>
      <c r="F59" s="19">
        <f>Page_13!G58</f>
        <v>176562.73714285714</v>
      </c>
      <c r="G59" s="19">
        <f>SUM(E59:F59)</f>
        <v>552541.74</v>
      </c>
      <c r="H59" s="19">
        <f>Page_13!I58</f>
        <v>24000</v>
      </c>
      <c r="I59" s="19"/>
      <c r="J59" s="1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</row>
    <row r="60" spans="1:41" x14ac:dyDescent="0.35">
      <c r="A60" s="65" t="str">
        <f>Page_21!A59</f>
        <v>Projected Del. (A-2ba)</v>
      </c>
      <c r="B60" s="19">
        <f>Page_6!C59</f>
        <v>619251.42857142864</v>
      </c>
      <c r="C60" s="19">
        <f>Page_7!D59</f>
        <v>168036</v>
      </c>
      <c r="D60" s="51">
        <f>Page_7!E59</f>
        <v>16000</v>
      </c>
      <c r="E60" s="19">
        <f>Page_13!F59</f>
        <v>3007832.0228571431</v>
      </c>
      <c r="F60" s="19">
        <f>Page_13!G59</f>
        <v>1412501.8971428571</v>
      </c>
      <c r="G60" s="19">
        <f>SUM(E60:F60)</f>
        <v>4420333.92</v>
      </c>
      <c r="H60" s="19">
        <f>Page_13!I59</f>
        <v>192000</v>
      </c>
      <c r="I60" s="51"/>
      <c r="J60" s="51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</row>
    <row r="61" spans="1:41" x14ac:dyDescent="0.35">
      <c r="A61" s="50"/>
      <c r="B61" s="90"/>
      <c r="C61" s="90"/>
      <c r="D61" s="155"/>
      <c r="E61" s="51"/>
      <c r="F61" s="51"/>
      <c r="G61" s="51"/>
      <c r="H61" s="51"/>
      <c r="I61" s="51"/>
      <c r="J61" s="51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</row>
    <row r="62" spans="1:41" x14ac:dyDescent="0.35">
      <c r="A62" s="50"/>
      <c r="B62" s="90"/>
      <c r="C62" s="90"/>
      <c r="D62" s="155"/>
      <c r="E62" s="51"/>
      <c r="F62" s="51"/>
      <c r="H62" s="51"/>
      <c r="I62" s="51"/>
      <c r="J62" s="51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</row>
    <row r="63" spans="1:41" x14ac:dyDescent="0.35">
      <c r="A63" s="50"/>
      <c r="B63" s="90"/>
      <c r="C63" s="90"/>
      <c r="D63" s="155"/>
      <c r="E63" s="51"/>
      <c r="F63" s="51"/>
      <c r="G63" s="51"/>
      <c r="H63" s="51"/>
      <c r="I63" s="51"/>
      <c r="J63" s="51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</row>
    <row r="64" spans="1:41" x14ac:dyDescent="0.35">
      <c r="A64" s="50"/>
      <c r="B64" s="90"/>
      <c r="C64" s="90"/>
      <c r="D64" s="155"/>
      <c r="E64" s="51"/>
      <c r="F64" s="51"/>
      <c r="G64" s="51"/>
      <c r="H64" s="51"/>
      <c r="I64" s="51"/>
      <c r="J64" s="51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</row>
    <row r="65" spans="1:41" x14ac:dyDescent="0.35">
      <c r="A65" s="50"/>
      <c r="B65" s="90"/>
      <c r="C65" s="90"/>
      <c r="D65" s="155"/>
      <c r="E65" s="51"/>
      <c r="F65" s="51"/>
      <c r="G65" s="51"/>
      <c r="H65" s="51"/>
      <c r="I65" s="51"/>
      <c r="J65" s="51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</row>
    <row r="66" spans="1:41" x14ac:dyDescent="0.35">
      <c r="A66" s="50"/>
      <c r="B66" s="90"/>
      <c r="C66" s="90"/>
      <c r="D66" s="90"/>
      <c r="E66" s="51"/>
      <c r="F66" s="51"/>
      <c r="G66" s="51"/>
      <c r="H66" s="51"/>
      <c r="I66" s="51"/>
      <c r="J66" s="51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</row>
    <row r="67" spans="1:41" x14ac:dyDescent="0.35">
      <c r="A67" s="50"/>
      <c r="B67" s="90"/>
      <c r="C67" s="90"/>
      <c r="D67" s="90"/>
      <c r="E67" s="51"/>
      <c r="F67" s="51"/>
      <c r="G67" s="51"/>
      <c r="H67" s="51"/>
      <c r="I67" s="51"/>
      <c r="J67" s="51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</row>
    <row r="68" spans="1:41" x14ac:dyDescent="0.35">
      <c r="A68" s="50"/>
      <c r="B68" s="90"/>
      <c r="C68" s="90"/>
      <c r="D68" s="90"/>
      <c r="E68" s="51"/>
      <c r="F68" s="51"/>
      <c r="G68" s="51"/>
      <c r="H68" s="51"/>
      <c r="I68" s="51"/>
      <c r="J68" s="51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</row>
    <row r="69" spans="1:41" x14ac:dyDescent="0.35">
      <c r="A69" s="50"/>
      <c r="B69" s="90"/>
      <c r="C69" s="90"/>
      <c r="D69" s="90"/>
      <c r="E69" s="51"/>
      <c r="F69" s="51"/>
      <c r="G69" s="51"/>
      <c r="H69" s="51"/>
      <c r="I69" s="51"/>
      <c r="J69" s="51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</row>
    <row r="70" spans="1:41" x14ac:dyDescent="0.35">
      <c r="A70" s="50"/>
      <c r="B70" s="90"/>
      <c r="C70" s="90"/>
      <c r="D70" s="90"/>
      <c r="E70" s="51"/>
      <c r="F70" s="51"/>
      <c r="G70" s="51"/>
      <c r="H70" s="51"/>
      <c r="I70" s="51"/>
      <c r="J70" s="51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</row>
    <row r="71" spans="1:41" x14ac:dyDescent="0.35">
      <c r="A71" s="50"/>
      <c r="B71" s="90"/>
      <c r="C71" s="90"/>
      <c r="D71" s="90"/>
      <c r="E71" s="51"/>
      <c r="F71" s="51"/>
      <c r="G71" s="51"/>
      <c r="H71" s="51"/>
      <c r="I71" s="51"/>
      <c r="J71" s="51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</row>
    <row r="72" spans="1:41" x14ac:dyDescent="0.35">
      <c r="A72" s="50"/>
      <c r="B72" s="90"/>
      <c r="C72" s="90"/>
      <c r="D72" s="90"/>
      <c r="E72" s="51"/>
      <c r="F72" s="51"/>
      <c r="G72" s="51"/>
      <c r="H72" s="51"/>
      <c r="I72" s="51"/>
      <c r="J72" s="51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</row>
    <row r="73" spans="1:41" x14ac:dyDescent="0.35">
      <c r="A73" s="50"/>
      <c r="B73" s="90"/>
      <c r="C73" s="90"/>
      <c r="D73" s="90"/>
      <c r="E73" s="51"/>
      <c r="F73" s="51"/>
      <c r="G73" s="51"/>
      <c r="H73" s="51"/>
      <c r="I73" s="51"/>
      <c r="J73" s="51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</row>
    <row r="74" spans="1:41" x14ac:dyDescent="0.35">
      <c r="A74" s="50"/>
      <c r="B74" s="90"/>
      <c r="C74" s="90"/>
      <c r="D74" s="90"/>
      <c r="E74" s="51"/>
      <c r="F74" s="51"/>
      <c r="G74" s="51"/>
      <c r="H74" s="51"/>
      <c r="I74" s="51"/>
      <c r="J74" s="51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</row>
    <row r="75" spans="1:41" x14ac:dyDescent="0.35">
      <c r="A75" s="50"/>
      <c r="B75" s="90"/>
      <c r="C75" s="90"/>
      <c r="D75" s="90"/>
      <c r="E75" s="51"/>
      <c r="F75" s="51"/>
      <c r="G75" s="51"/>
      <c r="H75" s="51"/>
      <c r="I75" s="51"/>
      <c r="J75" s="51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</row>
    <row r="76" spans="1:41" x14ac:dyDescent="0.35"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</row>
    <row r="77" spans="1:41" x14ac:dyDescent="0.35"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</row>
    <row r="78" spans="1:41" x14ac:dyDescent="0.35"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</row>
    <row r="79" spans="1:41" x14ac:dyDescent="0.35"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</row>
    <row r="80" spans="1:41" x14ac:dyDescent="0.35"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</row>
    <row r="81" spans="5:41" x14ac:dyDescent="0.35"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</row>
    <row r="82" spans="5:41" x14ac:dyDescent="0.35"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</row>
    <row r="83" spans="5:41" x14ac:dyDescent="0.35"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</row>
    <row r="84" spans="5:41" x14ac:dyDescent="0.35"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</row>
    <row r="85" spans="5:41" x14ac:dyDescent="0.35"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</row>
    <row r="86" spans="5:41" x14ac:dyDescent="0.35"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</row>
    <row r="87" spans="5:41" x14ac:dyDescent="0.35"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</row>
    <row r="88" spans="5:41" x14ac:dyDescent="0.35"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</row>
    <row r="89" spans="5:41" x14ac:dyDescent="0.35"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</row>
    <row r="90" spans="5:41" x14ac:dyDescent="0.35"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</row>
    <row r="91" spans="5:41" x14ac:dyDescent="0.35"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</row>
    <row r="92" spans="5:41" x14ac:dyDescent="0.35"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</row>
    <row r="93" spans="5:41" x14ac:dyDescent="0.35"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</row>
    <row r="94" spans="5:41" x14ac:dyDescent="0.35"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</row>
    <row r="95" spans="5:41" x14ac:dyDescent="0.35"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</row>
    <row r="96" spans="5:41" x14ac:dyDescent="0.35"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</row>
    <row r="97" spans="5:41" x14ac:dyDescent="0.35"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</row>
    <row r="98" spans="5:41" x14ac:dyDescent="0.35"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</row>
    <row r="99" spans="5:41" x14ac:dyDescent="0.35"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</row>
    <row r="100" spans="5:41" x14ac:dyDescent="0.35"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</row>
    <row r="101" spans="5:41" x14ac:dyDescent="0.35"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</row>
    <row r="102" spans="5:41" x14ac:dyDescent="0.35"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</row>
    <row r="103" spans="5:41" x14ac:dyDescent="0.35"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</row>
    <row r="104" spans="5:41" x14ac:dyDescent="0.35"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</row>
    <row r="105" spans="5:41" x14ac:dyDescent="0.35"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</row>
    <row r="106" spans="5:41" x14ac:dyDescent="0.35"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</row>
    <row r="107" spans="5:41" x14ac:dyDescent="0.35"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</row>
    <row r="108" spans="5:41" x14ac:dyDescent="0.35"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</row>
    <row r="109" spans="5:41" x14ac:dyDescent="0.35"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</row>
    <row r="110" spans="5:41" x14ac:dyDescent="0.35"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</row>
    <row r="111" spans="5:41" x14ac:dyDescent="0.35"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</row>
    <row r="112" spans="5:41" x14ac:dyDescent="0.35"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</row>
    <row r="113" spans="5:41" x14ac:dyDescent="0.35"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</row>
    <row r="114" spans="5:41" x14ac:dyDescent="0.35"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</row>
    <row r="115" spans="5:41" x14ac:dyDescent="0.35"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</row>
    <row r="116" spans="5:41" x14ac:dyDescent="0.35"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</row>
    <row r="117" spans="5:41" x14ac:dyDescent="0.35"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</row>
    <row r="118" spans="5:41" x14ac:dyDescent="0.35"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</row>
    <row r="119" spans="5:41" x14ac:dyDescent="0.35"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</row>
    <row r="120" spans="5:41" x14ac:dyDescent="0.35"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</row>
    <row r="121" spans="5:41" x14ac:dyDescent="0.35"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</row>
    <row r="122" spans="5:41" x14ac:dyDescent="0.35"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</row>
    <row r="123" spans="5:41" x14ac:dyDescent="0.35"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</row>
    <row r="124" spans="5:41" x14ac:dyDescent="0.35"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</row>
    <row r="125" spans="5:41" x14ac:dyDescent="0.35"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</row>
    <row r="126" spans="5:41" x14ac:dyDescent="0.35"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</row>
    <row r="127" spans="5:41" x14ac:dyDescent="0.35"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</row>
    <row r="128" spans="5:41" x14ac:dyDescent="0.35"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</row>
    <row r="129" spans="5:41" x14ac:dyDescent="0.35"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</row>
    <row r="130" spans="5:41" x14ac:dyDescent="0.35"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</row>
    <row r="131" spans="5:41" x14ac:dyDescent="0.35"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</row>
    <row r="132" spans="5:41" x14ac:dyDescent="0.35"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</row>
    <row r="133" spans="5:41" x14ac:dyDescent="0.35"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</row>
    <row r="134" spans="5:41" x14ac:dyDescent="0.35"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</row>
    <row r="135" spans="5:41" x14ac:dyDescent="0.35"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</row>
    <row r="136" spans="5:41" x14ac:dyDescent="0.35"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</row>
    <row r="137" spans="5:41" x14ac:dyDescent="0.35"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</row>
    <row r="138" spans="5:41" x14ac:dyDescent="0.35"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</row>
    <row r="139" spans="5:41" x14ac:dyDescent="0.35"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</row>
    <row r="140" spans="5:41" x14ac:dyDescent="0.35"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</row>
    <row r="141" spans="5:41" x14ac:dyDescent="0.35"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</row>
    <row r="142" spans="5:41" x14ac:dyDescent="0.35"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</row>
    <row r="143" spans="5:41" x14ac:dyDescent="0.35"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</row>
    <row r="144" spans="5:41" x14ac:dyDescent="0.35"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</row>
    <row r="145" spans="5:41" x14ac:dyDescent="0.35"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</row>
    <row r="146" spans="5:41" x14ac:dyDescent="0.35"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</row>
    <row r="147" spans="5:41" x14ac:dyDescent="0.35"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</row>
    <row r="148" spans="5:41" x14ac:dyDescent="0.35"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</row>
    <row r="149" spans="5:41" x14ac:dyDescent="0.35"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</row>
    <row r="150" spans="5:41" x14ac:dyDescent="0.35"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</row>
    <row r="151" spans="5:41" x14ac:dyDescent="0.35"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</row>
    <row r="152" spans="5:41" x14ac:dyDescent="0.35"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</row>
    <row r="153" spans="5:41" x14ac:dyDescent="0.35"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</row>
    <row r="154" spans="5:41" x14ac:dyDescent="0.35"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</row>
    <row r="155" spans="5:41" x14ac:dyDescent="0.35"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</row>
    <row r="156" spans="5:41" x14ac:dyDescent="0.35"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</row>
    <row r="157" spans="5:41" x14ac:dyDescent="0.35"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</row>
    <row r="158" spans="5:41" x14ac:dyDescent="0.35"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</row>
    <row r="159" spans="5:41" x14ac:dyDescent="0.35"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</row>
    <row r="160" spans="5:41" x14ac:dyDescent="0.35"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</row>
    <row r="161" spans="5:41" x14ac:dyDescent="0.35"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</row>
    <row r="162" spans="5:41" x14ac:dyDescent="0.35"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</row>
    <row r="163" spans="5:41" x14ac:dyDescent="0.35"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</row>
    <row r="164" spans="5:41" x14ac:dyDescent="0.35"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</row>
    <row r="165" spans="5:41" x14ac:dyDescent="0.35"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</row>
    <row r="166" spans="5:41" x14ac:dyDescent="0.35"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</row>
    <row r="167" spans="5:41" x14ac:dyDescent="0.35"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</row>
    <row r="168" spans="5:41" x14ac:dyDescent="0.35"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</row>
    <row r="169" spans="5:41" x14ac:dyDescent="0.35"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</row>
    <row r="170" spans="5:41" x14ac:dyDescent="0.35"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</row>
    <row r="171" spans="5:41" x14ac:dyDescent="0.35"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</row>
    <row r="172" spans="5:41" x14ac:dyDescent="0.35"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</row>
    <row r="173" spans="5:41" x14ac:dyDescent="0.35"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</row>
    <row r="174" spans="5:41" x14ac:dyDescent="0.35"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</row>
    <row r="175" spans="5:41" x14ac:dyDescent="0.35"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</row>
    <row r="176" spans="5:41" x14ac:dyDescent="0.35"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</row>
    <row r="177" spans="5:41" x14ac:dyDescent="0.35"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</row>
    <row r="178" spans="5:41" x14ac:dyDescent="0.35"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</row>
    <row r="179" spans="5:41" x14ac:dyDescent="0.35"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</row>
    <row r="180" spans="5:41" x14ac:dyDescent="0.35"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</row>
    <row r="181" spans="5:41" x14ac:dyDescent="0.35"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</row>
    <row r="182" spans="5:41" x14ac:dyDescent="0.35"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</row>
    <row r="183" spans="5:41" x14ac:dyDescent="0.35"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</row>
    <row r="184" spans="5:41" x14ac:dyDescent="0.35"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</row>
    <row r="185" spans="5:41" x14ac:dyDescent="0.35"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</row>
    <row r="186" spans="5:41" x14ac:dyDescent="0.35"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</row>
    <row r="187" spans="5:41" x14ac:dyDescent="0.35"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</row>
    <row r="188" spans="5:41" x14ac:dyDescent="0.35"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</row>
    <row r="189" spans="5:41" x14ac:dyDescent="0.35"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</row>
    <row r="190" spans="5:41" x14ac:dyDescent="0.35"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</row>
    <row r="191" spans="5:41" x14ac:dyDescent="0.35"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</row>
    <row r="192" spans="5:41" x14ac:dyDescent="0.35"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</row>
    <row r="193" spans="5:41" x14ac:dyDescent="0.35"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</row>
    <row r="194" spans="5:41" x14ac:dyDescent="0.35"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</row>
    <row r="195" spans="5:41" x14ac:dyDescent="0.35"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</row>
    <row r="196" spans="5:41" x14ac:dyDescent="0.35"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</row>
    <row r="197" spans="5:41" x14ac:dyDescent="0.35"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</row>
    <row r="198" spans="5:41" x14ac:dyDescent="0.35"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</row>
    <row r="199" spans="5:41" x14ac:dyDescent="0.35"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</row>
    <row r="200" spans="5:41" x14ac:dyDescent="0.35"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</row>
    <row r="201" spans="5:41" x14ac:dyDescent="0.35"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</row>
    <row r="202" spans="5:41" x14ac:dyDescent="0.35"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</row>
    <row r="203" spans="5:41" x14ac:dyDescent="0.35"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</row>
    <row r="204" spans="5:41" x14ac:dyDescent="0.35"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</row>
    <row r="205" spans="5:41" x14ac:dyDescent="0.35"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</row>
    <row r="206" spans="5:41" x14ac:dyDescent="0.35"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</row>
    <row r="207" spans="5:41" x14ac:dyDescent="0.35"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</row>
  </sheetData>
  <printOptions horizontalCentered="1"/>
  <pageMargins left="0.25" right="0.25" top="0.5" bottom="0.5" header="0.3" footer="0.3"/>
  <pageSetup scale="52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Button 1">
              <controlPr defaultSize="0" print="0" autoFill="0" autoPict="0" macro="[0]!pdfPage27">
                <anchor moveWithCells="1" sizeWithCells="1">
                  <from>
                    <xdr:col>0</xdr:col>
                    <xdr:colOff>57150</xdr:colOff>
                    <xdr:row>0</xdr:row>
                    <xdr:rowOff>19050</xdr:rowOff>
                  </from>
                  <to>
                    <xdr:col>0</xdr:col>
                    <xdr:colOff>88900</xdr:colOff>
                    <xdr:row>0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61828F-BA57-4E02-B3C9-41017D716ECC}">
  <sheetPr codeName="Sheet42">
    <pageSetUpPr fitToPage="1"/>
  </sheetPr>
  <dimension ref="A1:ID206"/>
  <sheetViews>
    <sheetView topLeftCell="A37" zoomScaleNormal="100" zoomScaleSheetLayoutView="80" workbookViewId="0">
      <selection activeCell="E75" sqref="E75"/>
    </sheetView>
  </sheetViews>
  <sheetFormatPr defaultColWidth="9.58203125" defaultRowHeight="15.5" x14ac:dyDescent="0.35"/>
  <cols>
    <col min="1" max="1" width="40.58203125" style="58" customWidth="1"/>
    <col min="2" max="9" width="18.83203125" customWidth="1"/>
  </cols>
  <sheetData>
    <row r="1" spans="1:41" s="59" customFormat="1" ht="18.5" x14ac:dyDescent="0.45">
      <c r="A1" s="67" t="str">
        <f>Page_1!$A$1</f>
        <v>IRR 2023 Sch A-13 F.Z25.XLSM</v>
      </c>
      <c r="B1" s="33"/>
      <c r="C1" s="33"/>
      <c r="D1" s="33"/>
      <c r="E1" s="33"/>
      <c r="F1" s="33"/>
      <c r="G1" s="33"/>
      <c r="H1" s="32"/>
      <c r="I1" s="84"/>
      <c r="J1" s="42" t="s">
        <v>102</v>
      </c>
    </row>
    <row r="2" spans="1:41" s="59" customFormat="1" ht="18.5" x14ac:dyDescent="0.45">
      <c r="A2" s="11" t="str">
        <f>Page_1!$A$2</f>
        <v>09/20/2022</v>
      </c>
      <c r="C2" s="33"/>
      <c r="D2" s="33"/>
      <c r="E2" s="33"/>
      <c r="F2" s="33"/>
      <c r="G2" s="33"/>
      <c r="H2" s="33"/>
      <c r="I2" s="84"/>
      <c r="J2" s="42" t="s">
        <v>102</v>
      </c>
    </row>
    <row r="3" spans="1:41" s="59" customFormat="1" ht="18.5" x14ac:dyDescent="0.45">
      <c r="A3" s="31" t="str">
        <f>Page_1!A3</f>
        <v>CENTRAL VALLEY PROJECT</v>
      </c>
      <c r="C3" s="33"/>
      <c r="D3" s="33"/>
      <c r="E3" s="33"/>
      <c r="F3" s="33"/>
      <c r="G3" s="33"/>
      <c r="H3" s="33"/>
      <c r="I3" s="32"/>
      <c r="J3" s="32"/>
    </row>
    <row r="4" spans="1:41" s="59" customFormat="1" ht="55.5" x14ac:dyDescent="0.45">
      <c r="A4" s="31" t="str">
        <f>Page_1!A4</f>
        <v>SCHEDULE OF HISTORICAL (1981-2021) &amp; PROJECTED (2022-2030) IRRIGATION WATER DELIVERIES (IN ACRE FEET)</v>
      </c>
      <c r="C4" s="33"/>
      <c r="D4" s="33"/>
      <c r="E4" s="33"/>
      <c r="F4" s="33"/>
      <c r="G4" s="33"/>
      <c r="H4" s="33"/>
      <c r="I4" s="32"/>
      <c r="J4" s="32"/>
    </row>
    <row r="5" spans="1:41" s="59" customFormat="1" ht="55.5" x14ac:dyDescent="0.45">
      <c r="A5" s="31" t="s">
        <v>120</v>
      </c>
      <c r="B5" s="42" t="s">
        <v>102</v>
      </c>
      <c r="C5" s="42" t="s">
        <v>102</v>
      </c>
      <c r="D5" s="42" t="s">
        <v>102</v>
      </c>
      <c r="E5" s="42" t="s">
        <v>102</v>
      </c>
      <c r="F5" s="42" t="s">
        <v>102</v>
      </c>
      <c r="G5" s="42" t="s">
        <v>102</v>
      </c>
      <c r="H5" s="42" t="s">
        <v>102</v>
      </c>
      <c r="I5" s="42" t="s">
        <v>102</v>
      </c>
      <c r="J5" s="42" t="s">
        <v>102</v>
      </c>
    </row>
    <row r="6" spans="1:41" s="54" customFormat="1" ht="77.5" x14ac:dyDescent="0.35">
      <c r="A6" s="428" t="s">
        <v>34</v>
      </c>
      <c r="B6" s="431" t="s">
        <v>306</v>
      </c>
      <c r="C6" s="432" t="s">
        <v>307</v>
      </c>
      <c r="D6" s="433" t="s">
        <v>308</v>
      </c>
      <c r="E6" s="427" t="s">
        <v>309</v>
      </c>
      <c r="F6" s="434" t="s">
        <v>310</v>
      </c>
      <c r="G6" s="435" t="s">
        <v>311</v>
      </c>
      <c r="H6" s="436" t="s">
        <v>312</v>
      </c>
      <c r="I6" s="437" t="s">
        <v>313</v>
      </c>
      <c r="J6" s="92" t="s">
        <v>102</v>
      </c>
    </row>
    <row r="7" spans="1:41" s="54" customFormat="1" x14ac:dyDescent="0.35">
      <c r="A7" s="18" t="s">
        <v>42</v>
      </c>
      <c r="B7" s="19">
        <f>Page_14!H7</f>
        <v>188119</v>
      </c>
      <c r="C7" s="19">
        <f>Page_14!I7</f>
        <v>22982</v>
      </c>
      <c r="D7" s="19">
        <f t="shared" ref="D7:D38" si="0">SUM(B7:C7)</f>
        <v>211101</v>
      </c>
      <c r="E7" s="126">
        <f>Page_15!D7</f>
        <v>0</v>
      </c>
      <c r="F7" s="19">
        <f>Page_15!K7</f>
        <v>10583</v>
      </c>
      <c r="G7" s="19">
        <f>Page_16!CX7</f>
        <v>312723</v>
      </c>
      <c r="H7" s="19">
        <f t="shared" ref="H7:H59" si="1">SUM(F7:G7)</f>
        <v>323306</v>
      </c>
      <c r="I7" s="126">
        <f>Page_17!D7</f>
        <v>0</v>
      </c>
      <c r="J7" s="19" t="s">
        <v>102</v>
      </c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/>
      <c r="AN7" s="29"/>
      <c r="AO7" s="29"/>
    </row>
    <row r="8" spans="1:41" s="54" customFormat="1" x14ac:dyDescent="0.35">
      <c r="A8" s="18" t="s">
        <v>43</v>
      </c>
      <c r="B8" s="19">
        <f>Page_14!H8</f>
        <v>91612</v>
      </c>
      <c r="C8" s="19">
        <f>Page_14!I8</f>
        <v>399760</v>
      </c>
      <c r="D8" s="19">
        <f t="shared" si="0"/>
        <v>491372</v>
      </c>
      <c r="E8" s="126">
        <f>Page_15!D8</f>
        <v>0</v>
      </c>
      <c r="F8" s="19">
        <f>Page_15!K8</f>
        <v>10210</v>
      </c>
      <c r="G8" s="19">
        <f>Page_16!CX8</f>
        <v>389007.4</v>
      </c>
      <c r="H8" s="19">
        <f t="shared" si="1"/>
        <v>399217.4</v>
      </c>
      <c r="I8" s="126">
        <f>Page_17!D8</f>
        <v>0</v>
      </c>
      <c r="J8" s="19" t="s">
        <v>102</v>
      </c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</row>
    <row r="9" spans="1:41" s="54" customFormat="1" x14ac:dyDescent="0.35">
      <c r="A9" s="18" t="s">
        <v>44</v>
      </c>
      <c r="B9" s="19">
        <f>Page_14!H9</f>
        <v>152219</v>
      </c>
      <c r="C9" s="19">
        <f>Page_14!I9</f>
        <v>346000</v>
      </c>
      <c r="D9" s="19">
        <f t="shared" si="0"/>
        <v>498219</v>
      </c>
      <c r="E9" s="19">
        <f>Page_15!D9</f>
        <v>1500</v>
      </c>
      <c r="F9" s="19">
        <f>Page_15!K9</f>
        <v>13746</v>
      </c>
      <c r="G9" s="19">
        <f>Page_16!CX9</f>
        <v>340296.2</v>
      </c>
      <c r="H9" s="19">
        <f t="shared" si="1"/>
        <v>354042.2</v>
      </c>
      <c r="I9" s="126">
        <f>Page_17!D9</f>
        <v>0</v>
      </c>
      <c r="J9" s="19" t="s">
        <v>102</v>
      </c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</row>
    <row r="10" spans="1:41" s="54" customFormat="1" x14ac:dyDescent="0.35">
      <c r="A10" s="18" t="s">
        <v>45</v>
      </c>
      <c r="B10" s="19">
        <f>Page_14!H10</f>
        <v>163259</v>
      </c>
      <c r="C10" s="19">
        <f>Page_14!I10</f>
        <v>166022</v>
      </c>
      <c r="D10" s="19">
        <f t="shared" si="0"/>
        <v>329281</v>
      </c>
      <c r="E10" s="19">
        <f>Page_15!D10</f>
        <v>86</v>
      </c>
      <c r="F10" s="19">
        <f>Page_15!K10</f>
        <v>10846</v>
      </c>
      <c r="G10" s="19">
        <f>Page_16!CX10</f>
        <v>373735.2</v>
      </c>
      <c r="H10" s="19">
        <f t="shared" si="1"/>
        <v>384581.2</v>
      </c>
      <c r="I10" s="126">
        <f>Page_17!D10</f>
        <v>0</v>
      </c>
      <c r="J10" s="19" t="s">
        <v>102</v>
      </c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</row>
    <row r="11" spans="1:41" s="54" customFormat="1" x14ac:dyDescent="0.35">
      <c r="A11" s="18" t="s">
        <v>46</v>
      </c>
      <c r="B11" s="19">
        <f>Page_14!H11</f>
        <v>153840</v>
      </c>
      <c r="C11" s="19">
        <f>Page_14!I11</f>
        <v>59276</v>
      </c>
      <c r="D11" s="19">
        <f t="shared" si="0"/>
        <v>213116</v>
      </c>
      <c r="E11" s="126">
        <f>Page_15!D11</f>
        <v>0</v>
      </c>
      <c r="F11" s="19">
        <f>Page_15!K11</f>
        <v>10846</v>
      </c>
      <c r="G11" s="19">
        <f>Page_16!CX11</f>
        <v>384306.6</v>
      </c>
      <c r="H11" s="19">
        <f t="shared" si="1"/>
        <v>395152.6</v>
      </c>
      <c r="I11" s="126">
        <f>Page_17!D11</f>
        <v>0</v>
      </c>
      <c r="J11" s="19" t="s">
        <v>102</v>
      </c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</row>
    <row r="12" spans="1:41" s="54" customFormat="1" x14ac:dyDescent="0.35">
      <c r="A12" s="18" t="s">
        <v>47</v>
      </c>
      <c r="B12" s="19">
        <f>Page_14!H12</f>
        <v>99500</v>
      </c>
      <c r="C12" s="19">
        <f>Page_14!I12</f>
        <v>370619</v>
      </c>
      <c r="D12" s="19">
        <f t="shared" si="0"/>
        <v>470119</v>
      </c>
      <c r="E12" s="126">
        <f>Page_15!D12</f>
        <v>0</v>
      </c>
      <c r="F12" s="19">
        <f>Page_15!K12</f>
        <v>10881</v>
      </c>
      <c r="G12" s="19">
        <f>Page_16!CX12</f>
        <v>402766.6</v>
      </c>
      <c r="H12" s="19">
        <f t="shared" si="1"/>
        <v>413647.6</v>
      </c>
      <c r="I12" s="126">
        <f>Page_17!D12</f>
        <v>0</v>
      </c>
      <c r="J12" s="19" t="s">
        <v>102</v>
      </c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</row>
    <row r="13" spans="1:41" s="54" customFormat="1" x14ac:dyDescent="0.35">
      <c r="A13" s="18" t="s">
        <v>48</v>
      </c>
      <c r="B13" s="19">
        <f>Page_14!H13</f>
        <v>174956</v>
      </c>
      <c r="C13" s="126">
        <f>Page_14!I13</f>
        <v>0</v>
      </c>
      <c r="D13" s="19">
        <f t="shared" si="0"/>
        <v>174956</v>
      </c>
      <c r="E13" s="126">
        <f>Page_15!D13</f>
        <v>0</v>
      </c>
      <c r="F13" s="19">
        <f>Page_15!K13</f>
        <v>10331</v>
      </c>
      <c r="G13" s="19">
        <f>Page_16!CX13</f>
        <v>357391.00000000006</v>
      </c>
      <c r="H13" s="19">
        <f t="shared" si="1"/>
        <v>367722.00000000006</v>
      </c>
      <c r="I13" s="19">
        <f>Page_17!D13</f>
        <v>3071</v>
      </c>
      <c r="J13" s="19" t="s">
        <v>102</v>
      </c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</row>
    <row r="14" spans="1:41" s="54" customFormat="1" x14ac:dyDescent="0.35">
      <c r="A14" s="18" t="s">
        <v>49</v>
      </c>
      <c r="B14" s="19">
        <f>Page_14!H14</f>
        <v>121377</v>
      </c>
      <c r="C14" s="126">
        <f>Page_14!I14</f>
        <v>0</v>
      </c>
      <c r="D14" s="19">
        <f t="shared" si="0"/>
        <v>121377</v>
      </c>
      <c r="E14" s="126">
        <f>Page_15!D14</f>
        <v>0</v>
      </c>
      <c r="F14" s="19">
        <f>Page_15!K14</f>
        <v>10369</v>
      </c>
      <c r="G14" s="19">
        <f>Page_16!CX14</f>
        <v>385959</v>
      </c>
      <c r="H14" s="19">
        <f t="shared" si="1"/>
        <v>396328</v>
      </c>
      <c r="I14" s="19">
        <f>Page_17!D14</f>
        <v>11376</v>
      </c>
      <c r="J14" s="19" t="s">
        <v>102</v>
      </c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</row>
    <row r="15" spans="1:41" s="54" customFormat="1" x14ac:dyDescent="0.35">
      <c r="A15" s="18" t="s">
        <v>50</v>
      </c>
      <c r="B15" s="19">
        <f>Page_14!H15</f>
        <v>143772</v>
      </c>
      <c r="C15" s="126">
        <f>Page_14!I15</f>
        <v>0</v>
      </c>
      <c r="D15" s="19">
        <f t="shared" si="0"/>
        <v>143772</v>
      </c>
      <c r="E15" s="126">
        <f>Page_15!D15</f>
        <v>0</v>
      </c>
      <c r="F15" s="19">
        <f>Page_15!K15</f>
        <v>947</v>
      </c>
      <c r="G15" s="19">
        <f>Page_16!CX15</f>
        <v>351581</v>
      </c>
      <c r="H15" s="19">
        <f t="shared" si="1"/>
        <v>352528</v>
      </c>
      <c r="I15" s="19">
        <f>Page_17!D15</f>
        <v>24379</v>
      </c>
      <c r="J15" s="19" t="s">
        <v>102</v>
      </c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</row>
    <row r="16" spans="1:41" s="54" customFormat="1" x14ac:dyDescent="0.35">
      <c r="A16" s="18" t="s">
        <v>51</v>
      </c>
      <c r="B16" s="19">
        <f>Page_14!H16</f>
        <v>98823</v>
      </c>
      <c r="C16" s="126">
        <f>Page_14!I16</f>
        <v>0</v>
      </c>
      <c r="D16" s="19">
        <f t="shared" si="0"/>
        <v>98823</v>
      </c>
      <c r="E16" s="126">
        <f>Page_15!D16</f>
        <v>0</v>
      </c>
      <c r="F16" s="19">
        <f>Page_15!K16</f>
        <v>12472</v>
      </c>
      <c r="G16" s="19">
        <f>Page_16!CX16</f>
        <v>271203</v>
      </c>
      <c r="H16" s="19">
        <f t="shared" si="1"/>
        <v>283675</v>
      </c>
      <c r="I16" s="19">
        <f>Page_17!D16</f>
        <v>26773</v>
      </c>
      <c r="J16" s="19" t="s">
        <v>102</v>
      </c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</row>
    <row r="17" spans="1:238" s="54" customFormat="1" x14ac:dyDescent="0.35">
      <c r="A17" s="18" t="s">
        <v>52</v>
      </c>
      <c r="B17" s="19">
        <f>Page_14!H17</f>
        <v>140133</v>
      </c>
      <c r="C17" s="126">
        <f>Page_14!I17</f>
        <v>0</v>
      </c>
      <c r="D17" s="19">
        <f t="shared" si="0"/>
        <v>140133</v>
      </c>
      <c r="E17" s="126">
        <f>Page_15!D17</f>
        <v>0</v>
      </c>
      <c r="F17" s="19">
        <f>Page_15!K17</f>
        <v>16839</v>
      </c>
      <c r="G17" s="19">
        <f>Page_16!CX17</f>
        <v>383482.8</v>
      </c>
      <c r="H17" s="19">
        <f t="shared" si="1"/>
        <v>400321.8</v>
      </c>
      <c r="I17" s="19">
        <f>Page_17!D17</f>
        <v>17809</v>
      </c>
      <c r="J17" s="19" t="s">
        <v>102</v>
      </c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</row>
    <row r="18" spans="1:238" s="54" customFormat="1" x14ac:dyDescent="0.35">
      <c r="A18" s="18" t="s">
        <v>53</v>
      </c>
      <c r="B18" s="19">
        <f>Page_14!H18</f>
        <v>116199</v>
      </c>
      <c r="C18" s="126">
        <f>Page_14!I18</f>
        <v>0</v>
      </c>
      <c r="D18" s="19">
        <f t="shared" si="0"/>
        <v>116199</v>
      </c>
      <c r="E18" s="126">
        <f>Page_15!D18</f>
        <v>0</v>
      </c>
      <c r="F18" s="19">
        <f>Page_15!K18</f>
        <v>8099</v>
      </c>
      <c r="G18" s="19">
        <f>Page_16!CX18</f>
        <v>296790.2</v>
      </c>
      <c r="H18" s="19">
        <f t="shared" si="1"/>
        <v>304889.2</v>
      </c>
      <c r="I18" s="19">
        <f>Page_17!D18</f>
        <v>19359</v>
      </c>
      <c r="J18" s="19" t="s">
        <v>102</v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</row>
    <row r="19" spans="1:238" s="54" customFormat="1" x14ac:dyDescent="0.35">
      <c r="A19" s="18" t="s">
        <v>54</v>
      </c>
      <c r="B19" s="19">
        <f>Page_14!H19</f>
        <v>77464</v>
      </c>
      <c r="C19" s="19">
        <f>Page_14!I19</f>
        <v>311400</v>
      </c>
      <c r="D19" s="19">
        <f t="shared" si="0"/>
        <v>388864</v>
      </c>
      <c r="E19" s="126">
        <f>Page_15!D19</f>
        <v>0</v>
      </c>
      <c r="F19" s="19">
        <f>Page_15!K19</f>
        <v>10698</v>
      </c>
      <c r="G19" s="19">
        <f>Page_16!CX19</f>
        <v>212823.80000000002</v>
      </c>
      <c r="H19" s="19">
        <f t="shared" si="1"/>
        <v>223521.80000000002</v>
      </c>
      <c r="I19" s="19">
        <f>Page_17!D19</f>
        <v>25226</v>
      </c>
      <c r="J19" s="19" t="s">
        <v>102</v>
      </c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</row>
    <row r="20" spans="1:238" s="54" customFormat="1" x14ac:dyDescent="0.35">
      <c r="A20" s="18" t="s">
        <v>55</v>
      </c>
      <c r="B20" s="19">
        <f>Page_14!H20</f>
        <v>197877</v>
      </c>
      <c r="C20" s="126">
        <f>Page_14!I20</f>
        <v>0</v>
      </c>
      <c r="D20" s="19">
        <f t="shared" si="0"/>
        <v>197877</v>
      </c>
      <c r="E20" s="126">
        <f>Page_15!D20</f>
        <v>0</v>
      </c>
      <c r="F20" s="19">
        <f>Page_15!K20</f>
        <v>552</v>
      </c>
      <c r="G20" s="19">
        <f>Page_16!CX20</f>
        <v>279027</v>
      </c>
      <c r="H20" s="19">
        <f t="shared" si="1"/>
        <v>279579</v>
      </c>
      <c r="I20" s="19">
        <f>Page_17!D20</f>
        <v>43892</v>
      </c>
      <c r="J20" s="19" t="s">
        <v>102</v>
      </c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</row>
    <row r="21" spans="1:238" s="54" customFormat="1" x14ac:dyDescent="0.35">
      <c r="A21" s="18" t="s">
        <v>56</v>
      </c>
      <c r="B21" s="19">
        <f>Page_14!H21</f>
        <v>12447</v>
      </c>
      <c r="C21" s="19">
        <f>Page_14!I21</f>
        <v>202567</v>
      </c>
      <c r="D21" s="19">
        <f t="shared" si="0"/>
        <v>215014</v>
      </c>
      <c r="E21" s="19">
        <f>Page_15!D21</f>
        <v>8690</v>
      </c>
      <c r="F21" s="19">
        <f>Page_15!K21</f>
        <v>7792</v>
      </c>
      <c r="G21" s="19">
        <f>Page_16!CX21</f>
        <v>276692</v>
      </c>
      <c r="H21" s="19">
        <f t="shared" si="1"/>
        <v>284484</v>
      </c>
      <c r="I21" s="19">
        <f>Page_17!D21</f>
        <v>43263</v>
      </c>
      <c r="J21" s="19" t="s">
        <v>102</v>
      </c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</row>
    <row r="22" spans="1:238" s="54" customFormat="1" x14ac:dyDescent="0.35">
      <c r="A22" s="430" t="s">
        <v>57</v>
      </c>
      <c r="B22" s="51">
        <f>Page_14!H22</f>
        <v>184344</v>
      </c>
      <c r="C22" s="51">
        <f>Page_14!I22</f>
        <v>342225</v>
      </c>
      <c r="D22" s="51">
        <f t="shared" si="0"/>
        <v>526569</v>
      </c>
      <c r="E22" s="19">
        <f>Page_15!D22</f>
        <v>21040</v>
      </c>
      <c r="F22" s="51">
        <f>Page_15!K22</f>
        <v>10291</v>
      </c>
      <c r="G22" s="19">
        <f>Page_16!CX22</f>
        <v>343026.79999999993</v>
      </c>
      <c r="H22" s="51">
        <f t="shared" si="1"/>
        <v>353317.79999999993</v>
      </c>
      <c r="I22" s="19">
        <f>Page_17!D22</f>
        <v>68505</v>
      </c>
      <c r="J22" s="19" t="s">
        <v>102</v>
      </c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60"/>
      <c r="AL22" s="160"/>
      <c r="AM22" s="160"/>
      <c r="AN22" s="160"/>
      <c r="AO22" s="160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  <c r="FF22" s="161"/>
      <c r="FG22" s="161"/>
      <c r="FH22" s="161"/>
      <c r="FI22" s="161"/>
      <c r="FJ22" s="161"/>
      <c r="FK22" s="161"/>
      <c r="FL22" s="161"/>
      <c r="FM22" s="161"/>
      <c r="FN22" s="161"/>
      <c r="FO22" s="161"/>
      <c r="FP22" s="161"/>
      <c r="FQ22" s="161"/>
      <c r="FR22" s="161"/>
      <c r="FS22" s="161"/>
      <c r="FT22" s="161"/>
      <c r="FU22" s="161"/>
      <c r="FV22" s="161"/>
      <c r="FW22" s="161"/>
      <c r="FX22" s="161"/>
      <c r="FY22" s="161"/>
      <c r="FZ22" s="161"/>
      <c r="GA22" s="161"/>
      <c r="GB22" s="161"/>
      <c r="GC22" s="161"/>
      <c r="GD22" s="161"/>
      <c r="GE22" s="161"/>
      <c r="GF22" s="161"/>
      <c r="GG22" s="161"/>
      <c r="GH22" s="161"/>
      <c r="GI22" s="161"/>
      <c r="GJ22" s="161"/>
      <c r="GK22" s="161"/>
      <c r="GL22" s="161"/>
      <c r="GM22" s="161"/>
      <c r="GN22" s="161"/>
      <c r="GO22" s="161"/>
      <c r="GP22" s="161"/>
      <c r="GQ22" s="161"/>
      <c r="GR22" s="161"/>
      <c r="GS22" s="161"/>
      <c r="GT22" s="161"/>
      <c r="GU22" s="161"/>
      <c r="GV22" s="161"/>
      <c r="GW22" s="161"/>
      <c r="GX22" s="161"/>
      <c r="GY22" s="161"/>
      <c r="GZ22" s="161"/>
      <c r="HA22" s="161"/>
      <c r="HB22" s="161"/>
      <c r="HC22" s="161"/>
      <c r="HD22" s="161"/>
      <c r="HE22" s="161"/>
      <c r="HF22" s="161"/>
      <c r="HG22" s="161"/>
      <c r="HH22" s="161"/>
      <c r="HI22" s="161"/>
      <c r="HJ22" s="161"/>
      <c r="HK22" s="161"/>
      <c r="HL22" s="161"/>
      <c r="HM22" s="161"/>
      <c r="HN22" s="161"/>
      <c r="HO22" s="161"/>
      <c r="HP22" s="161"/>
      <c r="HQ22" s="161"/>
      <c r="HR22" s="161"/>
      <c r="HS22" s="161"/>
      <c r="HT22" s="161"/>
      <c r="HU22" s="161"/>
      <c r="HV22" s="161"/>
      <c r="HW22" s="161"/>
      <c r="HX22" s="161"/>
      <c r="HY22" s="161"/>
      <c r="HZ22" s="161"/>
      <c r="IA22" s="161"/>
      <c r="IB22" s="161"/>
      <c r="IC22" s="161"/>
      <c r="ID22" s="161"/>
    </row>
    <row r="23" spans="1:238" s="54" customFormat="1" x14ac:dyDescent="0.35">
      <c r="A23" s="18" t="s">
        <v>58</v>
      </c>
      <c r="B23" s="19">
        <f>Page_14!H23</f>
        <v>130776</v>
      </c>
      <c r="C23" s="19">
        <f>Page_14!I23</f>
        <v>184505</v>
      </c>
      <c r="D23" s="19">
        <f t="shared" si="0"/>
        <v>315281</v>
      </c>
      <c r="E23" s="19">
        <f>Page_15!D23</f>
        <v>28540</v>
      </c>
      <c r="F23" s="19">
        <f>Page_15!K23</f>
        <v>10156</v>
      </c>
      <c r="G23" s="19">
        <f>Page_16!CX23</f>
        <v>342378</v>
      </c>
      <c r="H23" s="19">
        <f t="shared" si="1"/>
        <v>352534</v>
      </c>
      <c r="I23" s="19">
        <f>Page_17!D23</f>
        <v>76438</v>
      </c>
      <c r="J23" s="19" t="s">
        <v>102</v>
      </c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</row>
    <row r="24" spans="1:238" s="54" customFormat="1" x14ac:dyDescent="0.35">
      <c r="A24" s="18" t="s">
        <v>59</v>
      </c>
      <c r="B24" s="19">
        <f>Page_14!H24</f>
        <v>121988</v>
      </c>
      <c r="C24" s="19">
        <f>Page_14!I24</f>
        <v>33365</v>
      </c>
      <c r="D24" s="19">
        <f t="shared" si="0"/>
        <v>155353</v>
      </c>
      <c r="E24" s="19">
        <f>Page_15!D24</f>
        <v>21782</v>
      </c>
      <c r="F24" s="19">
        <f>Page_15!K24</f>
        <v>10125</v>
      </c>
      <c r="G24" s="19">
        <f>Page_16!CX24</f>
        <v>413629.00000000006</v>
      </c>
      <c r="H24" s="19">
        <f t="shared" si="1"/>
        <v>423754.00000000006</v>
      </c>
      <c r="I24" s="19">
        <f>Page_17!D24</f>
        <v>64641</v>
      </c>
      <c r="J24" s="19" t="s">
        <v>102</v>
      </c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</row>
    <row r="25" spans="1:238" s="54" customFormat="1" x14ac:dyDescent="0.35">
      <c r="A25" s="18" t="s">
        <v>111</v>
      </c>
      <c r="B25" s="19">
        <f>Page_14!H25</f>
        <v>165391</v>
      </c>
      <c r="C25" s="19">
        <f>Page_14!I25</f>
        <v>72521</v>
      </c>
      <c r="D25" s="19">
        <f t="shared" si="0"/>
        <v>237912</v>
      </c>
      <c r="E25" s="19">
        <f>Page_15!D25</f>
        <v>46080</v>
      </c>
      <c r="F25" s="19">
        <f>Page_15!K25</f>
        <v>10120</v>
      </c>
      <c r="G25" s="19">
        <f>Page_16!CX25</f>
        <v>437326</v>
      </c>
      <c r="H25" s="19">
        <f>SUM(F25:G25)</f>
        <v>447446</v>
      </c>
      <c r="I25" s="19">
        <f>Page_17!D25</f>
        <v>-34234</v>
      </c>
      <c r="J25" s="19" t="s">
        <v>102</v>
      </c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</row>
    <row r="26" spans="1:238" s="54" customFormat="1" x14ac:dyDescent="0.35">
      <c r="A26" s="18" t="s">
        <v>60</v>
      </c>
      <c r="B26" s="19">
        <f>Page_14!H26</f>
        <v>122183</v>
      </c>
      <c r="C26" s="19">
        <f>Page_14!I26</f>
        <v>125603</v>
      </c>
      <c r="D26" s="19">
        <f t="shared" si="0"/>
        <v>247786</v>
      </c>
      <c r="E26" s="19">
        <f>Page_15!D26</f>
        <v>33664</v>
      </c>
      <c r="F26" s="19">
        <f>Page_15!K26</f>
        <v>11145</v>
      </c>
      <c r="G26" s="19">
        <f>Page_16!CX26</f>
        <v>327411</v>
      </c>
      <c r="H26" s="19">
        <f t="shared" si="1"/>
        <v>338556</v>
      </c>
      <c r="I26" s="19">
        <f>Page_17!D26</f>
        <v>45438</v>
      </c>
      <c r="J26" s="19" t="s">
        <v>102</v>
      </c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</row>
    <row r="27" spans="1:238" s="54" customFormat="1" x14ac:dyDescent="0.35">
      <c r="A27" s="18" t="s">
        <v>61</v>
      </c>
      <c r="B27" s="19">
        <f>Page_14!H27</f>
        <v>163350</v>
      </c>
      <c r="C27" s="19">
        <f>Page_14!I27</f>
        <v>20892</v>
      </c>
      <c r="D27" s="19">
        <f t="shared" si="0"/>
        <v>184242</v>
      </c>
      <c r="E27" s="19">
        <f>Page_15!D27</f>
        <v>28598</v>
      </c>
      <c r="F27" s="19">
        <f>Page_15!K27</f>
        <v>17853</v>
      </c>
      <c r="G27" s="19">
        <f>Page_16!CX27</f>
        <v>313765</v>
      </c>
      <c r="H27" s="19">
        <f t="shared" si="1"/>
        <v>331618</v>
      </c>
      <c r="I27" s="19">
        <f>Page_17!D27</f>
        <v>20226</v>
      </c>
      <c r="J27" s="19" t="s">
        <v>102</v>
      </c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</row>
    <row r="28" spans="1:238" s="54" customFormat="1" x14ac:dyDescent="0.35">
      <c r="A28" s="18" t="s">
        <v>62</v>
      </c>
      <c r="B28" s="19">
        <f>Page_14!H28</f>
        <v>144215</v>
      </c>
      <c r="C28" s="19">
        <f>Page_14!I28</f>
        <v>31550</v>
      </c>
      <c r="D28" s="19">
        <f t="shared" si="0"/>
        <v>175765</v>
      </c>
      <c r="E28" s="19">
        <f>Page_15!D28</f>
        <v>8584</v>
      </c>
      <c r="F28" s="19">
        <f>Page_15!K28</f>
        <v>2530</v>
      </c>
      <c r="G28" s="19">
        <f>Page_16!CX28</f>
        <v>337089</v>
      </c>
      <c r="H28" s="19">
        <f t="shared" si="1"/>
        <v>339619</v>
      </c>
      <c r="I28" s="19">
        <f>Page_17!D28</f>
        <v>27460</v>
      </c>
      <c r="J28" s="19" t="s">
        <v>102</v>
      </c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</row>
    <row r="29" spans="1:238" s="54" customFormat="1" x14ac:dyDescent="0.35">
      <c r="A29" s="18" t="s">
        <v>63</v>
      </c>
      <c r="B29" s="19">
        <f>Page_14!H29</f>
        <v>124332</v>
      </c>
      <c r="C29" s="19">
        <f>Page_14!I29</f>
        <v>78424</v>
      </c>
      <c r="D29" s="19">
        <f t="shared" si="0"/>
        <v>202756</v>
      </c>
      <c r="E29" s="19">
        <f>Page_15!D29</f>
        <v>12351</v>
      </c>
      <c r="F29" s="19">
        <f>Page_15!K29</f>
        <v>10162</v>
      </c>
      <c r="G29" s="19">
        <f>Page_16!CX29</f>
        <v>428490</v>
      </c>
      <c r="H29" s="19">
        <f t="shared" si="1"/>
        <v>438652</v>
      </c>
      <c r="I29" s="19">
        <f>Page_17!D29</f>
        <v>39548</v>
      </c>
      <c r="J29" s="19" t="s">
        <v>102</v>
      </c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</row>
    <row r="30" spans="1:238" s="164" customFormat="1" x14ac:dyDescent="0.35">
      <c r="A30" s="25" t="s">
        <v>64</v>
      </c>
      <c r="B30" s="162">
        <f>Page_14!H30</f>
        <v>158932</v>
      </c>
      <c r="C30" s="162">
        <f>Page_14!I30</f>
        <v>28871</v>
      </c>
      <c r="D30" s="162">
        <f t="shared" si="0"/>
        <v>187803</v>
      </c>
      <c r="E30" s="19">
        <f>Page_15!D30</f>
        <v>14362</v>
      </c>
      <c r="F30" s="162">
        <f>Page_15!K30</f>
        <v>10120</v>
      </c>
      <c r="G30" s="19">
        <f>Page_16!CX30</f>
        <v>320912</v>
      </c>
      <c r="H30" s="19">
        <f t="shared" si="1"/>
        <v>331032</v>
      </c>
      <c r="I30" s="19">
        <f>Page_17!D30</f>
        <v>62589</v>
      </c>
      <c r="J30" s="162" t="s">
        <v>102</v>
      </c>
      <c r="K30" s="127"/>
      <c r="L30" s="127"/>
      <c r="M30" s="127"/>
      <c r="N30" s="127"/>
      <c r="O30" s="127"/>
      <c r="P30" s="127"/>
      <c r="Q30" s="127"/>
      <c r="R30" s="127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  <c r="AC30" s="127"/>
      <c r="AD30" s="127"/>
      <c r="AE30" s="127"/>
      <c r="AF30" s="127"/>
      <c r="AG30" s="127"/>
      <c r="AH30" s="127"/>
      <c r="AI30" s="127"/>
      <c r="AJ30" s="127"/>
      <c r="AK30" s="127"/>
      <c r="AL30" s="127"/>
      <c r="AM30" s="127"/>
      <c r="AN30" s="127"/>
      <c r="AO30" s="127"/>
    </row>
    <row r="31" spans="1:238" s="164" customFormat="1" x14ac:dyDescent="0.35">
      <c r="A31" s="25" t="s">
        <v>65</v>
      </c>
      <c r="B31" s="162">
        <f>Page_14!H31</f>
        <v>88686</v>
      </c>
      <c r="C31" s="162">
        <f>Page_14!I31</f>
        <v>97375</v>
      </c>
      <c r="D31" s="162">
        <f t="shared" si="0"/>
        <v>186061</v>
      </c>
      <c r="E31" s="19">
        <f>Page_15!D31</f>
        <v>30680</v>
      </c>
      <c r="F31" s="162">
        <f>Page_15!K31</f>
        <v>2744</v>
      </c>
      <c r="G31" s="19">
        <f>Page_16!CX31</f>
        <v>417837</v>
      </c>
      <c r="H31" s="19">
        <f>SUM(F31:G31)</f>
        <v>420581</v>
      </c>
      <c r="I31" s="19">
        <f>Page_17!D31</f>
        <v>52092</v>
      </c>
      <c r="J31" s="162" t="s">
        <v>102</v>
      </c>
      <c r="K31" s="127"/>
      <c r="L31" s="127"/>
      <c r="M31" s="127"/>
      <c r="N31" s="127"/>
      <c r="O31" s="127"/>
      <c r="P31" s="127"/>
      <c r="Q31" s="127"/>
      <c r="R31" s="127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127"/>
      <c r="AG31" s="127"/>
      <c r="AH31" s="127"/>
      <c r="AI31" s="127"/>
      <c r="AJ31" s="127"/>
      <c r="AK31" s="127"/>
      <c r="AL31" s="127"/>
      <c r="AM31" s="127"/>
      <c r="AN31" s="127"/>
      <c r="AO31" s="127"/>
    </row>
    <row r="32" spans="1:238" s="54" customFormat="1" x14ac:dyDescent="0.35">
      <c r="A32" s="25" t="s">
        <v>66</v>
      </c>
      <c r="B32" s="162">
        <f>Page_14!H32</f>
        <v>80999</v>
      </c>
      <c r="C32" s="162">
        <f>Page_14!I32</f>
        <v>81418</v>
      </c>
      <c r="D32" s="162">
        <f t="shared" si="0"/>
        <v>162417</v>
      </c>
      <c r="E32" s="19">
        <f>Page_15!D32</f>
        <v>39561</v>
      </c>
      <c r="F32" s="162">
        <f>Page_15!K32</f>
        <v>2535</v>
      </c>
      <c r="G32" s="19">
        <f>Page_16!CX32</f>
        <v>301890</v>
      </c>
      <c r="H32" s="19">
        <f>SUM(F32:G32)</f>
        <v>304425</v>
      </c>
      <c r="I32" s="19">
        <f>Page_17!D32</f>
        <v>69431</v>
      </c>
      <c r="J32" s="19" t="s">
        <v>102</v>
      </c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</row>
    <row r="33" spans="1:41" s="54" customFormat="1" x14ac:dyDescent="0.35">
      <c r="A33" s="18" t="s">
        <v>67</v>
      </c>
      <c r="B33" s="19">
        <f>Page_14!H33</f>
        <v>165547</v>
      </c>
      <c r="C33" s="159">
        <f>Page_14!I33</f>
        <v>0</v>
      </c>
      <c r="D33" s="19">
        <f t="shared" si="0"/>
        <v>165547</v>
      </c>
      <c r="E33" s="19">
        <f>Page_15!D33</f>
        <v>49856</v>
      </c>
      <c r="F33" s="19">
        <f>Page_15!K33</f>
        <v>738</v>
      </c>
      <c r="G33" s="19">
        <f>Page_16!CX33</f>
        <v>215976</v>
      </c>
      <c r="H33" s="19">
        <f t="shared" si="1"/>
        <v>216714</v>
      </c>
      <c r="I33" s="19">
        <f>Page_17!D33</f>
        <v>42671</v>
      </c>
      <c r="J33" s="19" t="s">
        <v>102</v>
      </c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</row>
    <row r="34" spans="1:41" s="54" customFormat="1" x14ac:dyDescent="0.35">
      <c r="A34" s="18" t="s">
        <v>68</v>
      </c>
      <c r="B34" s="19">
        <f>Page_14!H34</f>
        <v>140441</v>
      </c>
      <c r="C34" s="19">
        <f>Page_14!I34</f>
        <v>17300</v>
      </c>
      <c r="D34" s="19">
        <f t="shared" si="0"/>
        <v>157741</v>
      </c>
      <c r="E34" s="19">
        <f>Page_15!D34</f>
        <v>36884</v>
      </c>
      <c r="F34" s="19">
        <f>Page_15!K34</f>
        <v>9640</v>
      </c>
      <c r="G34" s="19">
        <f>Page_16!CX34</f>
        <v>309806</v>
      </c>
      <c r="H34" s="19">
        <f t="shared" si="1"/>
        <v>319446</v>
      </c>
      <c r="I34" s="19">
        <f>Page_17!D34</f>
        <v>22261</v>
      </c>
      <c r="J34" s="19" t="s">
        <v>102</v>
      </c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</row>
    <row r="35" spans="1:41" s="54" customFormat="1" x14ac:dyDescent="0.35">
      <c r="A35" s="18" t="s">
        <v>69</v>
      </c>
      <c r="B35" s="19">
        <f>Page_14!H35</f>
        <v>127929</v>
      </c>
      <c r="C35" s="19">
        <f>Page_14!I35</f>
        <v>73451</v>
      </c>
      <c r="D35" s="19">
        <f t="shared" si="0"/>
        <v>201380</v>
      </c>
      <c r="E35" s="19">
        <f>Page_15!D35</f>
        <v>32656</v>
      </c>
      <c r="F35" s="19">
        <f>Page_15!K35</f>
        <v>1525</v>
      </c>
      <c r="G35" s="19">
        <f>Page_16!CX35</f>
        <v>280416</v>
      </c>
      <c r="H35" s="19">
        <f t="shared" si="1"/>
        <v>281941</v>
      </c>
      <c r="I35" s="19">
        <f>Page_17!D35</f>
        <v>10646</v>
      </c>
      <c r="J35" s="19" t="s">
        <v>102</v>
      </c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</row>
    <row r="36" spans="1:41" s="54" customFormat="1" x14ac:dyDescent="0.35">
      <c r="A36" s="18" t="s">
        <v>70</v>
      </c>
      <c r="B36" s="19">
        <f>Page_14!H36</f>
        <v>121515</v>
      </c>
      <c r="C36" s="19">
        <f>Page_14!I36</f>
        <v>191175</v>
      </c>
      <c r="D36" s="19">
        <f t="shared" si="0"/>
        <v>312690</v>
      </c>
      <c r="E36" s="19">
        <f>Page_15!D36</f>
        <v>41771</v>
      </c>
      <c r="F36" s="19">
        <f>Page_15!K36</f>
        <v>188</v>
      </c>
      <c r="G36" s="19">
        <f>Page_16!CX36</f>
        <v>279579</v>
      </c>
      <c r="H36" s="19">
        <f t="shared" si="1"/>
        <v>279767</v>
      </c>
      <c r="I36" s="19">
        <f>Page_17!D36</f>
        <v>22021</v>
      </c>
      <c r="J36" s="19" t="s">
        <v>102</v>
      </c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</row>
    <row r="37" spans="1:41" s="54" customFormat="1" x14ac:dyDescent="0.35">
      <c r="A37" s="18" t="s">
        <v>71</v>
      </c>
      <c r="B37" s="19">
        <f>Page_14!H37</f>
        <v>83830</v>
      </c>
      <c r="C37" s="19">
        <f>Page_14!I37</f>
        <v>94981</v>
      </c>
      <c r="D37" s="19">
        <f t="shared" si="0"/>
        <v>178811</v>
      </c>
      <c r="E37" s="19">
        <f>Page_15!D37</f>
        <v>40647</v>
      </c>
      <c r="F37" s="19">
        <f>Page_15!K37</f>
        <v>2941</v>
      </c>
      <c r="G37" s="19">
        <f>Page_16!CX37</f>
        <v>252419</v>
      </c>
      <c r="H37" s="19">
        <f t="shared" si="1"/>
        <v>255360</v>
      </c>
      <c r="I37" s="19">
        <f>Page_17!D37</f>
        <v>15904</v>
      </c>
      <c r="J37" s="19" t="s">
        <v>102</v>
      </c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</row>
    <row r="38" spans="1:41" s="54" customFormat="1" x14ac:dyDescent="0.35">
      <c r="A38" s="18" t="s">
        <v>72</v>
      </c>
      <c r="B38" s="19">
        <f>Page_14!H38</f>
        <v>147694</v>
      </c>
      <c r="C38" s="19">
        <f>Page_14!I38</f>
        <v>3438</v>
      </c>
      <c r="D38" s="19">
        <f t="shared" si="0"/>
        <v>151132</v>
      </c>
      <c r="E38" s="19">
        <f>Page_15!D38</f>
        <v>40375</v>
      </c>
      <c r="F38" s="19">
        <f>Page_15!K38</f>
        <v>3042</v>
      </c>
      <c r="G38" s="19">
        <f>Page_16!CX38</f>
        <v>269836</v>
      </c>
      <c r="H38" s="19">
        <f t="shared" si="1"/>
        <v>272878</v>
      </c>
      <c r="I38" s="19">
        <f>Page_17!D38</f>
        <v>55092</v>
      </c>
      <c r="J38" s="19" t="s">
        <v>102</v>
      </c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</row>
    <row r="39" spans="1:41" s="54" customFormat="1" x14ac:dyDescent="0.35">
      <c r="A39" s="18" t="s">
        <v>73</v>
      </c>
      <c r="B39" s="19">
        <f>Page_14!H39</f>
        <v>80243</v>
      </c>
      <c r="C39" s="159">
        <f>Page_14!I39</f>
        <v>0</v>
      </c>
      <c r="D39" s="19">
        <f t="shared" ref="D39:D56" si="2">SUM(B39:C39)</f>
        <v>80243</v>
      </c>
      <c r="E39" s="19">
        <f>Page_15!D39</f>
        <v>41105</v>
      </c>
      <c r="F39" s="19">
        <f>Page_15!K39</f>
        <v>5391</v>
      </c>
      <c r="G39" s="19">
        <f>Page_16!CX39</f>
        <v>247440.56</v>
      </c>
      <c r="H39" s="19">
        <f t="shared" si="1"/>
        <v>252831.56</v>
      </c>
      <c r="I39" s="19">
        <f>Page_17!D39</f>
        <v>28334</v>
      </c>
      <c r="J39" s="19" t="s">
        <v>102</v>
      </c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</row>
    <row r="40" spans="1:41" s="54" customFormat="1" x14ac:dyDescent="0.35">
      <c r="A40" s="18" t="s">
        <v>74</v>
      </c>
      <c r="B40" s="19">
        <f>Page_14!H40</f>
        <v>16834</v>
      </c>
      <c r="C40" s="159">
        <f>Page_14!I40</f>
        <v>0</v>
      </c>
      <c r="D40" s="19">
        <f t="shared" si="2"/>
        <v>16834</v>
      </c>
      <c r="E40" s="19">
        <f>Page_15!D40</f>
        <v>44394</v>
      </c>
      <c r="F40" s="19">
        <f>Page_15!K40</f>
        <v>1613</v>
      </c>
      <c r="G40" s="19">
        <f>Page_16!CX40</f>
        <v>136030</v>
      </c>
      <c r="H40" s="19">
        <f t="shared" si="1"/>
        <v>137643</v>
      </c>
      <c r="I40" s="19">
        <f>Page_17!D40</f>
        <v>7177</v>
      </c>
      <c r="J40" s="19" t="s">
        <v>102</v>
      </c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</row>
    <row r="41" spans="1:41" s="54" customFormat="1" x14ac:dyDescent="0.35">
      <c r="A41" s="18" t="s">
        <v>75</v>
      </c>
      <c r="B41" s="19">
        <f>Page_14!H41</f>
        <v>1509</v>
      </c>
      <c r="C41" s="159">
        <f>Page_14!I41</f>
        <v>0</v>
      </c>
      <c r="D41" s="19">
        <f t="shared" si="2"/>
        <v>1509</v>
      </c>
      <c r="E41" s="19">
        <f>Page_15!D41</f>
        <v>2941</v>
      </c>
      <c r="F41" s="19">
        <f>Page_15!K41</f>
        <v>2689</v>
      </c>
      <c r="G41" s="19">
        <f>Page_16!CX41</f>
        <v>146987</v>
      </c>
      <c r="H41" s="19">
        <f t="shared" si="1"/>
        <v>149676</v>
      </c>
      <c r="I41" s="19">
        <f>Page_17!D41</f>
        <v>3508</v>
      </c>
      <c r="J41" s="19" t="s">
        <v>102</v>
      </c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</row>
    <row r="42" spans="1:41" s="54" customFormat="1" x14ac:dyDescent="0.35">
      <c r="A42" s="18" t="s">
        <v>76</v>
      </c>
      <c r="B42" s="19">
        <f>Page_14!H42</f>
        <v>107760</v>
      </c>
      <c r="C42" s="19">
        <f>Page_14!I42</f>
        <v>24689</v>
      </c>
      <c r="D42" s="19">
        <f t="shared" si="2"/>
        <v>132449</v>
      </c>
      <c r="E42" s="159">
        <f>Page_15!D42</f>
        <v>0</v>
      </c>
      <c r="F42" s="19">
        <f>Page_15!K42</f>
        <v>2154</v>
      </c>
      <c r="G42" s="19">
        <f>Page_16!CX42</f>
        <v>195291</v>
      </c>
      <c r="H42" s="19">
        <f>SUM(F42:G42)</f>
        <v>197445</v>
      </c>
      <c r="I42" s="19">
        <f>Page_17!D42</f>
        <v>3688</v>
      </c>
      <c r="J42" s="19" t="s">
        <v>102</v>
      </c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</row>
    <row r="43" spans="1:41" s="54" customFormat="1" x14ac:dyDescent="0.35">
      <c r="A43" s="18" t="s">
        <v>77</v>
      </c>
      <c r="B43" s="19">
        <f>Page_14!H43</f>
        <v>103784</v>
      </c>
      <c r="C43" s="19">
        <f>Page_14!I43</f>
        <v>48419</v>
      </c>
      <c r="D43" s="19">
        <f t="shared" si="2"/>
        <v>152203</v>
      </c>
      <c r="E43" s="19">
        <f>Page_15!D43</f>
        <v>32740</v>
      </c>
      <c r="F43" s="19">
        <f>Page_15!K43</f>
        <v>3325</v>
      </c>
      <c r="G43" s="19">
        <f>Page_16!CX43</f>
        <v>250850</v>
      </c>
      <c r="H43" s="19">
        <f>SUM(F43:G43)</f>
        <v>254175</v>
      </c>
      <c r="I43" s="19">
        <f>Page_17!D43</f>
        <v>8387</v>
      </c>
      <c r="J43" s="19" t="s">
        <v>102</v>
      </c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</row>
    <row r="44" spans="1:41" s="54" customFormat="1" x14ac:dyDescent="0.35">
      <c r="A44" s="18" t="s">
        <v>78</v>
      </c>
      <c r="B44" s="19">
        <f>Page_14!H44</f>
        <v>156601</v>
      </c>
      <c r="C44" s="19">
        <f>Page_14!I44</f>
        <v>39321</v>
      </c>
      <c r="D44" s="19">
        <f t="shared" si="2"/>
        <v>195922</v>
      </c>
      <c r="E44" s="19">
        <f>Page_15!D44</f>
        <v>10387</v>
      </c>
      <c r="F44" s="19">
        <f>Page_15!K44</f>
        <v>3425</v>
      </c>
      <c r="G44" s="19">
        <f>Page_16!CX44</f>
        <v>217050</v>
      </c>
      <c r="H44" s="19">
        <f>SUM(F44:G44)</f>
        <v>220475</v>
      </c>
      <c r="I44" s="19">
        <f>Page_17!D44</f>
        <v>47899</v>
      </c>
      <c r="J44" s="19" t="s">
        <v>102</v>
      </c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</row>
    <row r="45" spans="1:41" s="54" customFormat="1" x14ac:dyDescent="0.35">
      <c r="A45" s="18" t="s">
        <v>79</v>
      </c>
      <c r="B45" s="19">
        <f>Page_14!H45</f>
        <v>105834</v>
      </c>
      <c r="C45" s="19">
        <f>Page_14!I45</f>
        <v>104290</v>
      </c>
      <c r="D45" s="19">
        <f t="shared" si="2"/>
        <v>210124</v>
      </c>
      <c r="E45" s="19">
        <f>Page_15!D45</f>
        <v>22215</v>
      </c>
      <c r="F45" s="19">
        <f>Page_15!K45</f>
        <v>3151</v>
      </c>
      <c r="G45" s="19">
        <f>Page_16!CX45</f>
        <v>291283</v>
      </c>
      <c r="H45" s="19">
        <f t="shared" si="1"/>
        <v>294434</v>
      </c>
      <c r="I45" s="19">
        <f>Page_17!D45</f>
        <v>25043</v>
      </c>
      <c r="J45" s="19" t="s">
        <v>102</v>
      </c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</row>
    <row r="46" spans="1:41" s="54" customFormat="1" x14ac:dyDescent="0.35">
      <c r="A46" s="18" t="s">
        <v>80</v>
      </c>
      <c r="B46" s="19">
        <f>Page_14!H46</f>
        <v>134188</v>
      </c>
      <c r="C46" s="19">
        <f>Page_14!I46</f>
        <v>3811</v>
      </c>
      <c r="D46" s="19">
        <f t="shared" si="2"/>
        <v>137999</v>
      </c>
      <c r="E46" s="19">
        <f>Page_15!D46</f>
        <v>34414</v>
      </c>
      <c r="F46" s="19">
        <f>Page_15!K46</f>
        <v>1727</v>
      </c>
      <c r="G46" s="19">
        <f>Page_16!CX46</f>
        <v>223725</v>
      </c>
      <c r="H46" s="19">
        <f t="shared" si="1"/>
        <v>225452</v>
      </c>
      <c r="I46" s="19">
        <f>Page_17!D46</f>
        <v>42664</v>
      </c>
      <c r="J46" s="19" t="s">
        <v>102</v>
      </c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</row>
    <row r="47" spans="1:41" s="54" customFormat="1" x14ac:dyDescent="0.35">
      <c r="A47" s="18" t="s">
        <v>81</v>
      </c>
      <c r="B47" s="19">
        <f>Page_14!H47</f>
        <v>32274</v>
      </c>
      <c r="C47" s="19">
        <f>Page_14!I47</f>
        <v>0</v>
      </c>
      <c r="D47" s="19">
        <f t="shared" si="2"/>
        <v>32274</v>
      </c>
      <c r="E47" s="19">
        <f>Page_15!D47</f>
        <v>45909</v>
      </c>
      <c r="F47" s="19">
        <f>Page_15!K47</f>
        <v>2766</v>
      </c>
      <c r="G47" s="19">
        <f>Page_16!CX47</f>
        <v>181448</v>
      </c>
      <c r="H47" s="19">
        <f t="shared" si="1"/>
        <v>184214</v>
      </c>
      <c r="I47" s="19">
        <f>Page_17!D47</f>
        <v>15999</v>
      </c>
      <c r="J47" s="19" t="s">
        <v>102</v>
      </c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</row>
    <row r="48" spans="1:41" s="54" customFormat="1" x14ac:dyDescent="0.35">
      <c r="A48" s="18" t="s">
        <v>82</v>
      </c>
      <c r="B48" s="19">
        <f>Page_14!H48</f>
        <v>91707.142857142855</v>
      </c>
      <c r="C48" s="19">
        <f>Page_14!I48</f>
        <v>31504.285714285717</v>
      </c>
      <c r="D48" s="19">
        <f t="shared" si="2"/>
        <v>123211.42857142858</v>
      </c>
      <c r="E48" s="19">
        <f>Page_15!D48</f>
        <v>21229.428571428572</v>
      </c>
      <c r="F48" s="19">
        <f>Page_15!K48</f>
        <v>2748.1428571428573</v>
      </c>
      <c r="G48" s="19">
        <f>Page_16!CX48</f>
        <v>215273.28571428574</v>
      </c>
      <c r="H48" s="19">
        <f t="shared" si="1"/>
        <v>218021.42857142861</v>
      </c>
      <c r="I48" s="19">
        <f>Page_17!D48</f>
        <v>21026.857142857145</v>
      </c>
      <c r="J48" s="19" t="s">
        <v>102</v>
      </c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</row>
    <row r="49" spans="1:41" s="54" customFormat="1" x14ac:dyDescent="0.35">
      <c r="A49" s="18" t="s">
        <v>83</v>
      </c>
      <c r="B49" s="19">
        <f>Page_14!H49</f>
        <v>91707.142857142855</v>
      </c>
      <c r="C49" s="19">
        <f>Page_14!I49</f>
        <v>31504.285714285717</v>
      </c>
      <c r="D49" s="19">
        <f t="shared" si="2"/>
        <v>123211.42857142858</v>
      </c>
      <c r="E49" s="19">
        <f>Page_15!D49</f>
        <v>21229.428571428572</v>
      </c>
      <c r="F49" s="19">
        <f>Page_15!K49</f>
        <v>2748.1428571428573</v>
      </c>
      <c r="G49" s="19">
        <f>Page_16!CX49</f>
        <v>215273.28571428574</v>
      </c>
      <c r="H49" s="19">
        <f t="shared" si="1"/>
        <v>218021.42857142861</v>
      </c>
      <c r="I49" s="19">
        <f>Page_17!D49</f>
        <v>21026.857142857145</v>
      </c>
      <c r="J49" s="19" t="s">
        <v>102</v>
      </c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</row>
    <row r="50" spans="1:41" s="54" customFormat="1" x14ac:dyDescent="0.35">
      <c r="A50" s="18" t="s">
        <v>84</v>
      </c>
      <c r="B50" s="19">
        <f>Page_14!H50</f>
        <v>91707.142857142855</v>
      </c>
      <c r="C50" s="19">
        <f>Page_14!I50</f>
        <v>31504.285714285717</v>
      </c>
      <c r="D50" s="19">
        <f t="shared" si="2"/>
        <v>123211.42857142858</v>
      </c>
      <c r="E50" s="19">
        <f>Page_15!D50</f>
        <v>21229.428571428572</v>
      </c>
      <c r="F50" s="19">
        <f>Page_15!K50</f>
        <v>2748.1428571428573</v>
      </c>
      <c r="G50" s="19">
        <f>Page_16!CX50</f>
        <v>215273.28571428574</v>
      </c>
      <c r="H50" s="19">
        <f t="shared" si="1"/>
        <v>218021.42857142861</v>
      </c>
      <c r="I50" s="19">
        <f>Page_17!D50</f>
        <v>21026.857142857145</v>
      </c>
      <c r="J50" s="19" t="s">
        <v>102</v>
      </c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</row>
    <row r="51" spans="1:41" s="54" customFormat="1" x14ac:dyDescent="0.35">
      <c r="A51" s="18" t="s">
        <v>85</v>
      </c>
      <c r="B51" s="19">
        <f>Page_14!H51</f>
        <v>91707.142857142855</v>
      </c>
      <c r="C51" s="19">
        <f>Page_14!I51</f>
        <v>31504.285714285717</v>
      </c>
      <c r="D51" s="19">
        <f t="shared" si="2"/>
        <v>123211.42857142858</v>
      </c>
      <c r="E51" s="19">
        <f>Page_15!D51</f>
        <v>21229.428571428572</v>
      </c>
      <c r="F51" s="19">
        <f>Page_15!K51</f>
        <v>2838.4285714285716</v>
      </c>
      <c r="G51" s="19">
        <f>Page_16!CX51</f>
        <v>215497.71428571426</v>
      </c>
      <c r="H51" s="19">
        <f t="shared" si="1"/>
        <v>218336.14285714284</v>
      </c>
      <c r="I51" s="19">
        <f>Page_17!D51</f>
        <v>21026.857142857145</v>
      </c>
      <c r="J51" s="19" t="s">
        <v>102</v>
      </c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</row>
    <row r="52" spans="1:41" s="54" customFormat="1" x14ac:dyDescent="0.35">
      <c r="A52" s="18" t="s">
        <v>86</v>
      </c>
      <c r="B52" s="19">
        <f>Page_14!H52</f>
        <v>91707.142857142855</v>
      </c>
      <c r="C52" s="19">
        <f>Page_14!I52</f>
        <v>31504.285714285717</v>
      </c>
      <c r="D52" s="19">
        <f t="shared" si="2"/>
        <v>123211.42857142858</v>
      </c>
      <c r="E52" s="19">
        <f>Page_15!D52</f>
        <v>21229.428571428572</v>
      </c>
      <c r="F52" s="19">
        <f>Page_15!K52</f>
        <v>2838.4285714285716</v>
      </c>
      <c r="G52" s="19">
        <f>Page_16!CX52</f>
        <v>215497.71428571426</v>
      </c>
      <c r="H52" s="19">
        <f t="shared" si="1"/>
        <v>218336.14285714284</v>
      </c>
      <c r="I52" s="19">
        <f>Page_17!D52</f>
        <v>21026.857142857145</v>
      </c>
      <c r="J52" s="19" t="s">
        <v>102</v>
      </c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</row>
    <row r="53" spans="1:41" s="54" customFormat="1" x14ac:dyDescent="0.35">
      <c r="A53" s="18" t="s">
        <v>87</v>
      </c>
      <c r="B53" s="19">
        <f>Page_14!H53</f>
        <v>91707.142857142855</v>
      </c>
      <c r="C53" s="19">
        <f>Page_14!I53</f>
        <v>31504.285714285717</v>
      </c>
      <c r="D53" s="19">
        <f t="shared" si="2"/>
        <v>123211.42857142858</v>
      </c>
      <c r="E53" s="19">
        <f>Page_15!D53</f>
        <v>21229.428571428572</v>
      </c>
      <c r="F53" s="19">
        <f>Page_15!K53</f>
        <v>2838.4285714285716</v>
      </c>
      <c r="G53" s="19">
        <f>Page_16!CX53</f>
        <v>215497.71428571426</v>
      </c>
      <c r="H53" s="19">
        <f t="shared" si="1"/>
        <v>218336.14285714284</v>
      </c>
      <c r="I53" s="19">
        <f>Page_17!D53</f>
        <v>21026.857142857145</v>
      </c>
      <c r="J53" s="19" t="s">
        <v>102</v>
      </c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</row>
    <row r="54" spans="1:41" s="54" customFormat="1" x14ac:dyDescent="0.35">
      <c r="A54" s="18" t="s">
        <v>88</v>
      </c>
      <c r="B54" s="19">
        <f>Page_14!H54</f>
        <v>91707.142857142855</v>
      </c>
      <c r="C54" s="19">
        <f>Page_14!I54</f>
        <v>31504.285714285717</v>
      </c>
      <c r="D54" s="19">
        <f t="shared" si="2"/>
        <v>123211.42857142858</v>
      </c>
      <c r="E54" s="19">
        <f>Page_15!D54</f>
        <v>21229.428571428572</v>
      </c>
      <c r="F54" s="19">
        <f>Page_15!K54</f>
        <v>2838.4285714285716</v>
      </c>
      <c r="G54" s="19">
        <f>Page_16!CX54</f>
        <v>215497.71428571426</v>
      </c>
      <c r="H54" s="19">
        <f t="shared" si="1"/>
        <v>218336.14285714284</v>
      </c>
      <c r="I54" s="19">
        <f>Page_17!D54</f>
        <v>21026.857142857145</v>
      </c>
      <c r="J54" s="19" t="s">
        <v>102</v>
      </c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</row>
    <row r="55" spans="1:41" s="54" customFormat="1" x14ac:dyDescent="0.35">
      <c r="A55" s="18" t="s">
        <v>89</v>
      </c>
      <c r="B55" s="19">
        <f>Page_14!H55</f>
        <v>91707.142857142855</v>
      </c>
      <c r="C55" s="19">
        <f>Page_14!I55</f>
        <v>31504.285714285717</v>
      </c>
      <c r="D55" s="19">
        <f t="shared" si="2"/>
        <v>123211.42857142858</v>
      </c>
      <c r="E55" s="19">
        <f>Page_15!D55</f>
        <v>21229.428571428572</v>
      </c>
      <c r="F55" s="19">
        <f>Page_15!K55</f>
        <v>2838.4285714285716</v>
      </c>
      <c r="G55" s="19">
        <f>Page_16!CX55</f>
        <v>215497.71428571426</v>
      </c>
      <c r="H55" s="19">
        <f t="shared" si="1"/>
        <v>218336.14285714284</v>
      </c>
      <c r="I55" s="19">
        <f>Page_17!D55</f>
        <v>21026.857142857145</v>
      </c>
      <c r="J55" s="19" t="s">
        <v>102</v>
      </c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</row>
    <row r="56" spans="1:41" s="54" customFormat="1" ht="16" thickBot="1" x14ac:dyDescent="0.4">
      <c r="A56" s="18" t="s">
        <v>90</v>
      </c>
      <c r="B56" s="19">
        <f>Page_14!H56</f>
        <v>91707.142857142855</v>
      </c>
      <c r="C56" s="19">
        <f>Page_14!I56</f>
        <v>31504.285714285717</v>
      </c>
      <c r="D56" s="19">
        <f t="shared" si="2"/>
        <v>123211.42857142858</v>
      </c>
      <c r="E56" s="19">
        <f>Page_15!D56</f>
        <v>21229.428571428572</v>
      </c>
      <c r="F56" s="19">
        <f>Page_15!K56</f>
        <v>2838.4285714285716</v>
      </c>
      <c r="G56" s="19">
        <f>Page_16!CX56</f>
        <v>215497.71428571426</v>
      </c>
      <c r="H56" s="19">
        <f t="shared" si="1"/>
        <v>218336.14285714284</v>
      </c>
      <c r="I56" s="19">
        <f>Page_17!D56</f>
        <v>21026.857142857145</v>
      </c>
      <c r="J56" s="19" t="s">
        <v>102</v>
      </c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</row>
    <row r="57" spans="1:41" s="54" customFormat="1" x14ac:dyDescent="0.35">
      <c r="A57" s="18" t="s">
        <v>91</v>
      </c>
      <c r="B57" s="27">
        <f t="shared" ref="B57:I57" si="3">SUM(B7:B56)</f>
        <v>5768140.2857142845</v>
      </c>
      <c r="C57" s="27">
        <f t="shared" si="3"/>
        <v>3859788.5714285732</v>
      </c>
      <c r="D57" s="27">
        <f t="shared" si="3"/>
        <v>9627928.8571428619</v>
      </c>
      <c r="E57" s="27">
        <f t="shared" si="3"/>
        <v>962876.85714285669</v>
      </c>
      <c r="F57" s="27">
        <f t="shared" si="3"/>
        <v>312582</v>
      </c>
      <c r="G57" s="27">
        <f t="shared" si="3"/>
        <v>14438481.302857144</v>
      </c>
      <c r="H57" s="27">
        <f t="shared" si="3"/>
        <v>14751063.302857149</v>
      </c>
      <c r="I57" s="27">
        <f t="shared" si="3"/>
        <v>1247817.7142857134</v>
      </c>
      <c r="J57" s="1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</row>
    <row r="58" spans="1:41" s="54" customFormat="1" x14ac:dyDescent="0.35">
      <c r="A58" s="18" t="str">
        <f>+Page_22!A59</f>
        <v>7 - Year Hist Avg (A-12)</v>
      </c>
      <c r="B58" s="19">
        <f>Page_14!H58</f>
        <v>91707.142857142855</v>
      </c>
      <c r="C58" s="19">
        <f>Page_14!I58</f>
        <v>31504.285714285717</v>
      </c>
      <c r="D58" s="19">
        <f>SUM(B58:C58)</f>
        <v>123211.42857142858</v>
      </c>
      <c r="E58" s="19">
        <f>Page_15!D58</f>
        <v>21229.428571428572</v>
      </c>
      <c r="F58" s="19">
        <f>Page_15!K58</f>
        <v>2838.4285714285716</v>
      </c>
      <c r="G58" s="19">
        <f>Page_16!CX58</f>
        <v>215497.71428571426</v>
      </c>
      <c r="H58" s="19">
        <f t="shared" si="1"/>
        <v>218336.14285714284</v>
      </c>
      <c r="I58" s="19">
        <f>Page_17!D58</f>
        <v>21026.857142857145</v>
      </c>
      <c r="J58" s="1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</row>
    <row r="59" spans="1:41" s="54" customFormat="1" x14ac:dyDescent="0.35">
      <c r="A59" s="65" t="str">
        <f>+Page_22!A60</f>
        <v>Projected Del. (A-2ba)</v>
      </c>
      <c r="B59" s="19">
        <f>Page_14!H59</f>
        <v>733657.14285714284</v>
      </c>
      <c r="C59" s="19">
        <f>Page_14!I59</f>
        <v>252034.28571428571</v>
      </c>
      <c r="D59" s="19">
        <f>SUM(B59:C59)</f>
        <v>985691.42857142852</v>
      </c>
      <c r="E59" s="19">
        <f>Page_15!D59</f>
        <v>169835.42857142858</v>
      </c>
      <c r="F59" s="19">
        <f>Page_15!K59</f>
        <v>22526.857142857145</v>
      </c>
      <c r="G59" s="19">
        <f>Page_16!CX59</f>
        <v>1723532.8571428577</v>
      </c>
      <c r="H59" s="19">
        <f t="shared" si="1"/>
        <v>1746059.7142857148</v>
      </c>
      <c r="I59" s="19">
        <f>Page_17!D59</f>
        <v>168214.85714285716</v>
      </c>
      <c r="J59" s="51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</row>
    <row r="60" spans="1:41" x14ac:dyDescent="0.35">
      <c r="A60" s="55"/>
      <c r="B60" s="57"/>
      <c r="C60" s="57"/>
      <c r="D60" s="57"/>
      <c r="E60" s="57"/>
      <c r="F60" s="57"/>
      <c r="G60" s="57"/>
      <c r="H60" s="57"/>
      <c r="I60" s="57"/>
      <c r="J60" s="57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</row>
    <row r="61" spans="1:41" x14ac:dyDescent="0.35">
      <c r="A61" s="55"/>
      <c r="B61" s="57"/>
      <c r="C61" s="57"/>
      <c r="D61" s="57"/>
      <c r="E61" s="57"/>
      <c r="F61" s="57"/>
      <c r="G61" s="57"/>
      <c r="H61" s="57"/>
      <c r="I61" s="57"/>
      <c r="J61" s="57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</row>
    <row r="62" spans="1:41" x14ac:dyDescent="0.35">
      <c r="A62" s="55"/>
      <c r="B62" s="57"/>
      <c r="C62" s="57"/>
      <c r="D62" s="57"/>
      <c r="E62" s="57"/>
      <c r="F62" s="57"/>
      <c r="G62" s="57"/>
      <c r="H62" s="57"/>
      <c r="I62" s="57"/>
      <c r="J62" s="57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</row>
    <row r="63" spans="1:41" hidden="1" x14ac:dyDescent="0.35">
      <c r="A63" s="55"/>
      <c r="B63" s="57"/>
      <c r="C63" s="57"/>
      <c r="D63" s="57"/>
      <c r="E63" s="57"/>
      <c r="F63" s="57"/>
      <c r="G63" s="57"/>
      <c r="H63" s="57"/>
      <c r="I63" s="57"/>
      <c r="J63" s="57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</row>
    <row r="64" spans="1:41" hidden="1" x14ac:dyDescent="0.35">
      <c r="A64" s="55"/>
      <c r="B64" s="57"/>
      <c r="C64" s="57"/>
      <c r="D64" s="57"/>
      <c r="E64" s="57"/>
      <c r="F64" s="57"/>
      <c r="G64" s="57">
        <f>+D59</f>
        <v>985691.42857142852</v>
      </c>
      <c r="H64" s="57"/>
      <c r="I64" s="57"/>
      <c r="J64" s="57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</row>
    <row r="65" spans="1:41" hidden="1" x14ac:dyDescent="0.35">
      <c r="A65" s="55"/>
      <c r="B65" s="57"/>
      <c r="C65" s="57"/>
      <c r="D65" s="57"/>
      <c r="E65" s="57"/>
      <c r="F65" s="57"/>
      <c r="G65" s="57">
        <f>+E59</f>
        <v>169835.42857142858</v>
      </c>
      <c r="H65" s="57"/>
      <c r="I65" s="57"/>
      <c r="J65" s="57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</row>
    <row r="66" spans="1:41" hidden="1" x14ac:dyDescent="0.35">
      <c r="A66" s="55"/>
      <c r="B66" s="57"/>
      <c r="C66" s="57"/>
      <c r="D66" s="57"/>
      <c r="E66" s="57"/>
      <c r="F66" s="57"/>
      <c r="G66" s="57">
        <f>+F59</f>
        <v>22526.857142857145</v>
      </c>
      <c r="H66" s="57"/>
      <c r="I66" s="57"/>
      <c r="J66" s="57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</row>
    <row r="67" spans="1:41" hidden="1" x14ac:dyDescent="0.35">
      <c r="A67" s="55"/>
      <c r="B67" s="57"/>
      <c r="C67" s="57"/>
      <c r="D67" s="57"/>
      <c r="E67" s="57"/>
      <c r="F67" s="57"/>
      <c r="G67" s="57">
        <f>+G59</f>
        <v>1723532.8571428577</v>
      </c>
      <c r="H67" s="57"/>
      <c r="I67" s="57"/>
      <c r="J67" s="57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</row>
    <row r="68" spans="1:41" hidden="1" x14ac:dyDescent="0.35">
      <c r="A68" s="55"/>
      <c r="B68" s="57"/>
      <c r="C68" s="57"/>
      <c r="D68" s="57"/>
      <c r="E68" s="57"/>
      <c r="F68" s="57"/>
      <c r="G68" s="57">
        <f>+I59</f>
        <v>168214.85714285716</v>
      </c>
      <c r="H68" s="57"/>
      <c r="I68" s="57"/>
      <c r="J68" s="57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</row>
    <row r="69" spans="1:41" hidden="1" x14ac:dyDescent="0.35">
      <c r="A69" s="55"/>
      <c r="B69" s="57"/>
      <c r="C69" s="57"/>
      <c r="D69" s="57"/>
      <c r="E69" s="57"/>
      <c r="F69" s="57"/>
      <c r="G69" s="57"/>
      <c r="H69" s="57"/>
      <c r="I69" s="57"/>
      <c r="J69" s="57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</row>
    <row r="70" spans="1:41" x14ac:dyDescent="0.35">
      <c r="A70" s="55"/>
      <c r="B70" s="57"/>
      <c r="C70" s="57"/>
      <c r="D70" s="57"/>
      <c r="E70" s="57"/>
      <c r="F70" s="57"/>
      <c r="G70" s="57"/>
      <c r="H70" s="57"/>
      <c r="I70" s="57"/>
      <c r="J70" s="57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</row>
    <row r="71" spans="1:41" x14ac:dyDescent="0.35">
      <c r="A71" s="55"/>
      <c r="B71" s="57"/>
      <c r="C71" s="57"/>
      <c r="D71" s="57"/>
      <c r="E71" s="57"/>
      <c r="F71" s="57"/>
      <c r="G71" s="57"/>
      <c r="H71" s="57"/>
      <c r="I71" s="57"/>
      <c r="J71" s="57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</row>
    <row r="72" spans="1:41" x14ac:dyDescent="0.35">
      <c r="A72" s="55"/>
      <c r="B72" s="57"/>
      <c r="C72" s="57"/>
      <c r="D72" s="57"/>
      <c r="E72" s="57"/>
      <c r="F72" s="57"/>
      <c r="G72" s="57"/>
      <c r="H72" s="57"/>
      <c r="I72" s="57"/>
      <c r="J72" s="57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</row>
    <row r="73" spans="1:41" x14ac:dyDescent="0.35">
      <c r="A73" s="55"/>
      <c r="B73" s="57"/>
      <c r="C73" s="57"/>
      <c r="D73" s="57"/>
      <c r="E73" s="57"/>
      <c r="F73" s="57"/>
      <c r="G73" s="57"/>
      <c r="H73" s="57"/>
      <c r="I73" s="57"/>
      <c r="J73" s="57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</row>
    <row r="74" spans="1:41" x14ac:dyDescent="0.35">
      <c r="A74" s="55"/>
      <c r="B74" s="57"/>
      <c r="C74" s="57"/>
      <c r="D74" s="57"/>
      <c r="E74" s="57"/>
      <c r="F74" s="57"/>
      <c r="G74" s="57"/>
      <c r="H74" s="57"/>
      <c r="I74" s="57"/>
      <c r="J74" s="57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</row>
    <row r="75" spans="1:41" x14ac:dyDescent="0.3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</row>
    <row r="76" spans="1:41" x14ac:dyDescent="0.35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</row>
    <row r="77" spans="1:41" x14ac:dyDescent="0.35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</row>
    <row r="78" spans="1:41" x14ac:dyDescent="0.35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</row>
    <row r="79" spans="1:41" x14ac:dyDescent="0.35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</row>
    <row r="80" spans="1:41" x14ac:dyDescent="0.35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</row>
    <row r="81" spans="2:41" x14ac:dyDescent="0.35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</row>
    <row r="82" spans="2:41" x14ac:dyDescent="0.35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</row>
    <row r="83" spans="2:41" x14ac:dyDescent="0.35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</row>
    <row r="84" spans="2:41" x14ac:dyDescent="0.35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</row>
    <row r="85" spans="2:41" x14ac:dyDescent="0.3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</row>
    <row r="86" spans="2:41" x14ac:dyDescent="0.35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</row>
    <row r="87" spans="2:41" x14ac:dyDescent="0.35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</row>
    <row r="88" spans="2:41" x14ac:dyDescent="0.35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</row>
    <row r="89" spans="2:41" x14ac:dyDescent="0.35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</row>
    <row r="90" spans="2:41" x14ac:dyDescent="0.35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</row>
    <row r="91" spans="2:41" x14ac:dyDescent="0.35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</row>
    <row r="92" spans="2:41" x14ac:dyDescent="0.35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</row>
    <row r="93" spans="2:41" x14ac:dyDescent="0.35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</row>
    <row r="94" spans="2:41" x14ac:dyDescent="0.35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</row>
    <row r="95" spans="2:41" x14ac:dyDescent="0.3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</row>
    <row r="96" spans="2:41" x14ac:dyDescent="0.35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</row>
    <row r="97" spans="2:41" x14ac:dyDescent="0.35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</row>
    <row r="98" spans="2:41" x14ac:dyDescent="0.35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</row>
    <row r="99" spans="2:41" x14ac:dyDescent="0.35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</row>
    <row r="100" spans="2:41" x14ac:dyDescent="0.35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</row>
    <row r="101" spans="2:41" x14ac:dyDescent="0.35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</row>
    <row r="102" spans="2:41" x14ac:dyDescent="0.35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</row>
    <row r="103" spans="2:41" x14ac:dyDescent="0.35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</row>
    <row r="104" spans="2:41" x14ac:dyDescent="0.3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</row>
    <row r="105" spans="2:41" x14ac:dyDescent="0.3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</row>
    <row r="106" spans="2:41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</row>
    <row r="107" spans="2:41" x14ac:dyDescent="0.35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</row>
    <row r="108" spans="2:41" x14ac:dyDescent="0.35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</row>
    <row r="109" spans="2:41" x14ac:dyDescent="0.35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</row>
    <row r="110" spans="2:41" x14ac:dyDescent="0.35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</row>
    <row r="111" spans="2:41" x14ac:dyDescent="0.35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</row>
    <row r="112" spans="2:41" x14ac:dyDescent="0.35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</row>
    <row r="113" spans="2:41" x14ac:dyDescent="0.35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</row>
    <row r="114" spans="2:41" x14ac:dyDescent="0.35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</row>
    <row r="115" spans="2:41" x14ac:dyDescent="0.3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</row>
    <row r="116" spans="2:41" x14ac:dyDescent="0.35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</row>
    <row r="117" spans="2:41" x14ac:dyDescent="0.35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</row>
    <row r="118" spans="2:41" x14ac:dyDescent="0.35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</row>
    <row r="119" spans="2:41" x14ac:dyDescent="0.35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</row>
    <row r="120" spans="2:41" x14ac:dyDescent="0.35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</row>
    <row r="121" spans="2:41" x14ac:dyDescent="0.35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</row>
    <row r="122" spans="2:41" x14ac:dyDescent="0.35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</row>
    <row r="123" spans="2:41" x14ac:dyDescent="0.35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</row>
    <row r="124" spans="2:41" x14ac:dyDescent="0.35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</row>
    <row r="125" spans="2:41" x14ac:dyDescent="0.3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</row>
    <row r="126" spans="2:41" x14ac:dyDescent="0.35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</row>
    <row r="127" spans="2:41" x14ac:dyDescent="0.35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</row>
    <row r="128" spans="2:41" x14ac:dyDescent="0.35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</row>
    <row r="129" spans="2:41" x14ac:dyDescent="0.35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</row>
    <row r="130" spans="2:41" x14ac:dyDescent="0.35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</row>
    <row r="131" spans="2:41" x14ac:dyDescent="0.3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</row>
    <row r="132" spans="2:41" x14ac:dyDescent="0.35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</row>
    <row r="133" spans="2:41" x14ac:dyDescent="0.35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</row>
    <row r="134" spans="2:41" x14ac:dyDescent="0.35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</row>
    <row r="135" spans="2:41" x14ac:dyDescent="0.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</row>
    <row r="136" spans="2:41" x14ac:dyDescent="0.35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</row>
    <row r="137" spans="2:41" x14ac:dyDescent="0.35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</row>
    <row r="138" spans="2:41" x14ac:dyDescent="0.35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</row>
    <row r="139" spans="2:41" x14ac:dyDescent="0.35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</row>
    <row r="140" spans="2:41" x14ac:dyDescent="0.35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</row>
    <row r="141" spans="2:41" x14ac:dyDescent="0.35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</row>
    <row r="142" spans="2:41" x14ac:dyDescent="0.35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</row>
    <row r="143" spans="2:41" x14ac:dyDescent="0.35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</row>
    <row r="144" spans="2:41" x14ac:dyDescent="0.35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</row>
    <row r="145" spans="2:41" x14ac:dyDescent="0.3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</row>
    <row r="146" spans="2:41" x14ac:dyDescent="0.35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</row>
    <row r="147" spans="2:41" x14ac:dyDescent="0.35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</row>
    <row r="148" spans="2:41" x14ac:dyDescent="0.35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</row>
    <row r="149" spans="2:41" x14ac:dyDescent="0.35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</row>
    <row r="150" spans="2:41" x14ac:dyDescent="0.35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</row>
    <row r="151" spans="2:41" x14ac:dyDescent="0.35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</row>
    <row r="152" spans="2:41" x14ac:dyDescent="0.35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</row>
    <row r="153" spans="2:41" x14ac:dyDescent="0.35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</row>
    <row r="154" spans="2:41" x14ac:dyDescent="0.35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</row>
    <row r="155" spans="2:41" x14ac:dyDescent="0.3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</row>
    <row r="156" spans="2:41" x14ac:dyDescent="0.35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</row>
    <row r="157" spans="2:41" x14ac:dyDescent="0.35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</row>
    <row r="158" spans="2:41" x14ac:dyDescent="0.35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</row>
    <row r="159" spans="2:41" x14ac:dyDescent="0.35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</row>
    <row r="160" spans="2:41" x14ac:dyDescent="0.35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</row>
    <row r="161" spans="2:41" x14ac:dyDescent="0.35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</row>
    <row r="162" spans="2:41" x14ac:dyDescent="0.35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</row>
    <row r="163" spans="2:41" x14ac:dyDescent="0.35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</row>
    <row r="164" spans="2:41" x14ac:dyDescent="0.35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</row>
    <row r="165" spans="2:41" x14ac:dyDescent="0.3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</row>
    <row r="166" spans="2:41" x14ac:dyDescent="0.35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</row>
    <row r="167" spans="2:41" x14ac:dyDescent="0.35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</row>
    <row r="168" spans="2:41" x14ac:dyDescent="0.35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</row>
    <row r="169" spans="2:41" x14ac:dyDescent="0.35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</row>
    <row r="170" spans="2:41" x14ac:dyDescent="0.35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</row>
    <row r="171" spans="2:41" x14ac:dyDescent="0.35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</row>
    <row r="172" spans="2:41" x14ac:dyDescent="0.35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</row>
    <row r="173" spans="2:41" x14ac:dyDescent="0.35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</row>
    <row r="174" spans="2:41" x14ac:dyDescent="0.35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</row>
    <row r="175" spans="2:41" x14ac:dyDescent="0.3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</row>
    <row r="176" spans="2:41" x14ac:dyDescent="0.35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</row>
    <row r="177" spans="2:41" x14ac:dyDescent="0.35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</row>
    <row r="178" spans="2:41" x14ac:dyDescent="0.35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</row>
    <row r="179" spans="2:41" x14ac:dyDescent="0.35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</row>
    <row r="180" spans="2:41" x14ac:dyDescent="0.35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</row>
    <row r="181" spans="2:41" x14ac:dyDescent="0.35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</row>
    <row r="182" spans="2:41" x14ac:dyDescent="0.35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</row>
    <row r="183" spans="2:41" x14ac:dyDescent="0.35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</row>
    <row r="184" spans="2:41" x14ac:dyDescent="0.35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</row>
    <row r="185" spans="2:41" x14ac:dyDescent="0.3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</row>
    <row r="186" spans="2:41" x14ac:dyDescent="0.35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</row>
    <row r="187" spans="2:41" x14ac:dyDescent="0.35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</row>
    <row r="188" spans="2:41" x14ac:dyDescent="0.35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</row>
    <row r="189" spans="2:41" x14ac:dyDescent="0.35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</row>
    <row r="190" spans="2:41" x14ac:dyDescent="0.35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</row>
    <row r="191" spans="2:41" x14ac:dyDescent="0.35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</row>
    <row r="192" spans="2:41" x14ac:dyDescent="0.35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</row>
    <row r="193" spans="2:41" x14ac:dyDescent="0.35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</row>
    <row r="194" spans="2:41" x14ac:dyDescent="0.35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</row>
    <row r="195" spans="2:41" x14ac:dyDescent="0.3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</row>
    <row r="196" spans="2:41" x14ac:dyDescent="0.35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</row>
    <row r="197" spans="2:41" x14ac:dyDescent="0.35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</row>
    <row r="198" spans="2:41" x14ac:dyDescent="0.35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</row>
    <row r="199" spans="2:41" x14ac:dyDescent="0.35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</row>
    <row r="200" spans="2:41" x14ac:dyDescent="0.35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</row>
    <row r="201" spans="2:41" x14ac:dyDescent="0.35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</row>
    <row r="202" spans="2:41" x14ac:dyDescent="0.35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</row>
    <row r="203" spans="2:41" x14ac:dyDescent="0.35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</row>
    <row r="204" spans="2:41" x14ac:dyDescent="0.35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</row>
    <row r="205" spans="2:41" x14ac:dyDescent="0.3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</row>
    <row r="206" spans="2:41" x14ac:dyDescent="0.35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</row>
  </sheetData>
  <printOptions horizontalCentered="1"/>
  <pageMargins left="0.25" right="0.25" top="0.5" bottom="0.5" header="0.3" footer="0.3"/>
  <pageSetup scale="51" orientation="landscape" r:id="rId1"/>
  <headerFooter>
    <oddFooter>&amp;RSchedule A-13
Page &amp;P of &amp;N</oddFooter>
  </headerFooter>
  <colBreaks count="1" manualBreakCount="1">
    <brk id="9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3553" r:id="rId4" name="Button 1">
              <controlPr defaultSize="0" print="0" autoFill="0" autoPict="0" macro="[0]!pdfPage27">
                <anchor moveWithCells="1" sizeWithCells="1">
                  <from>
                    <xdr:col>0</xdr:col>
                    <xdr:colOff>19050</xdr:colOff>
                    <xdr:row>0</xdr:row>
                    <xdr:rowOff>19050</xdr:rowOff>
                  </from>
                  <to>
                    <xdr:col>0</xdr:col>
                    <xdr:colOff>38100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A6C5D3-DD07-4852-9C35-1C4678A2A42E}">
  <sheetPr transitionEvaluation="1" transitionEntry="1" codeName="Sheet29">
    <pageSetUpPr fitToPage="1"/>
  </sheetPr>
  <dimension ref="A1:Y135"/>
  <sheetViews>
    <sheetView defaultGridColor="0" topLeftCell="A26" colorId="22" zoomScaleNormal="100" zoomScaleSheetLayoutView="120" workbookViewId="0">
      <selection activeCell="G38" sqref="G38"/>
    </sheetView>
  </sheetViews>
  <sheetFormatPr defaultColWidth="9.58203125" defaultRowHeight="20.149999999999999" customHeight="1" x14ac:dyDescent="0.35"/>
  <cols>
    <col min="1" max="1" width="40.58203125" style="226" customWidth="1"/>
    <col min="2" max="9" width="18.83203125" customWidth="1"/>
    <col min="10" max="15" width="29.33203125" customWidth="1"/>
    <col min="16" max="16" width="6.83203125" customWidth="1"/>
    <col min="17" max="17" width="14.25" style="172" customWidth="1"/>
  </cols>
  <sheetData>
    <row r="1" spans="1:25" s="59" customFormat="1" ht="18.5" x14ac:dyDescent="0.45">
      <c r="A1" s="219" t="str">
        <f>Page_1!$A$1</f>
        <v>IRR 2023 Sch A-13 F.Z25.XLSM</v>
      </c>
      <c r="B1" s="33"/>
      <c r="C1" s="33"/>
      <c r="D1" s="33"/>
      <c r="E1" s="33"/>
      <c r="F1" s="33"/>
      <c r="G1" s="33"/>
      <c r="H1" s="33"/>
      <c r="I1" s="33"/>
      <c r="J1" s="124"/>
      <c r="K1" s="33"/>
      <c r="L1" s="33"/>
      <c r="M1" s="33"/>
      <c r="N1" s="33"/>
      <c r="O1" s="33"/>
      <c r="P1" s="33"/>
      <c r="Q1" s="165"/>
    </row>
    <row r="2" spans="1:25" s="59" customFormat="1" ht="18.5" x14ac:dyDescent="0.45">
      <c r="A2" s="220" t="str">
        <f>Page_1!$A$2</f>
        <v>09/20/2022</v>
      </c>
      <c r="C2" s="124"/>
      <c r="D2" s="124"/>
      <c r="E2" s="124"/>
      <c r="F2" s="124"/>
      <c r="G2" s="124"/>
      <c r="H2" s="124"/>
      <c r="I2" s="124"/>
      <c r="J2" s="124"/>
      <c r="K2" s="124"/>
      <c r="L2" s="124"/>
      <c r="M2" s="124"/>
      <c r="N2" s="124"/>
      <c r="O2" s="124"/>
      <c r="P2" s="33"/>
      <c r="Q2" s="165"/>
    </row>
    <row r="3" spans="1:25" s="59" customFormat="1" ht="18.5" x14ac:dyDescent="0.45">
      <c r="A3" s="221" t="str">
        <f>Page_1!A3</f>
        <v>CENTRAL VALLEY PROJECT</v>
      </c>
      <c r="C3" s="124"/>
      <c r="D3" s="124"/>
      <c r="E3" s="124"/>
      <c r="F3" s="124"/>
      <c r="G3" s="124"/>
      <c r="J3" s="124"/>
      <c r="K3" s="124"/>
      <c r="L3" s="124"/>
      <c r="M3" s="124"/>
      <c r="N3" s="124"/>
      <c r="O3" s="124"/>
      <c r="P3" s="33"/>
      <c r="Q3" s="165"/>
    </row>
    <row r="4" spans="1:25" s="59" customFormat="1" ht="55.5" x14ac:dyDescent="0.45">
      <c r="A4" s="221" t="str">
        <f>Page_1!A4</f>
        <v>SCHEDULE OF HISTORICAL (1981-2021) &amp; PROJECTED (2022-2030) IRRIGATION WATER DELIVERIES (IN ACRE FEET)</v>
      </c>
      <c r="C4" s="124"/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33"/>
      <c r="Q4" s="165"/>
    </row>
    <row r="5" spans="1:25" s="59" customFormat="1" ht="55.5" x14ac:dyDescent="0.45">
      <c r="A5" s="221" t="str">
        <f>Page_1!A5</f>
        <v>FOR CALCULATION OF INDIVIDUAL CONTRACTOR PRORATED CONSTRUCTION COSTS AND RATE</v>
      </c>
      <c r="B5" s="42" t="s">
        <v>102</v>
      </c>
      <c r="C5" s="42" t="s">
        <v>102</v>
      </c>
      <c r="D5" s="42" t="s">
        <v>102</v>
      </c>
      <c r="E5" s="42" t="s">
        <v>102</v>
      </c>
      <c r="F5" s="32"/>
      <c r="G5" s="42" t="s">
        <v>102</v>
      </c>
      <c r="H5" s="42" t="s">
        <v>102</v>
      </c>
      <c r="I5" s="42"/>
      <c r="J5" s="42"/>
      <c r="K5" s="42"/>
      <c r="L5" s="42"/>
      <c r="M5" s="42"/>
      <c r="N5" s="42"/>
      <c r="O5" s="42"/>
      <c r="P5" s="32"/>
      <c r="Q5" s="166" t="s">
        <v>102</v>
      </c>
    </row>
    <row r="6" spans="1:25" s="129" customFormat="1" ht="62" x14ac:dyDescent="0.35">
      <c r="A6" s="428" t="s">
        <v>34</v>
      </c>
      <c r="B6" s="431" t="s">
        <v>314</v>
      </c>
      <c r="C6" s="432" t="s">
        <v>315</v>
      </c>
      <c r="D6" s="433" t="s">
        <v>316</v>
      </c>
      <c r="E6" s="427" t="s">
        <v>317</v>
      </c>
      <c r="F6" s="438" t="s">
        <v>318</v>
      </c>
      <c r="G6" s="421" t="s">
        <v>319</v>
      </c>
      <c r="H6" s="421" t="s">
        <v>320</v>
      </c>
      <c r="I6" s="421" t="s">
        <v>418</v>
      </c>
      <c r="J6" s="232"/>
      <c r="K6" s="232"/>
      <c r="L6" s="232"/>
      <c r="M6" s="232"/>
      <c r="N6" s="232"/>
      <c r="O6" s="232"/>
      <c r="P6" s="123"/>
      <c r="Q6" s="167"/>
    </row>
    <row r="7" spans="1:25" s="54" customFormat="1" ht="15.5" hidden="1" x14ac:dyDescent="0.35">
      <c r="A7" s="222"/>
      <c r="B7" s="156"/>
      <c r="C7" s="156"/>
      <c r="D7" s="156"/>
      <c r="E7" s="156"/>
      <c r="F7" s="155"/>
      <c r="G7" s="156"/>
      <c r="H7" s="156"/>
      <c r="I7" s="156"/>
      <c r="J7" s="156"/>
      <c r="K7" s="156"/>
      <c r="L7" s="156"/>
      <c r="M7" s="156"/>
      <c r="N7" s="156"/>
      <c r="O7" s="156"/>
      <c r="P7" s="155"/>
      <c r="Q7" s="115"/>
    </row>
    <row r="8" spans="1:25" s="54" customFormat="1" ht="14.15" customHeight="1" x14ac:dyDescent="0.35">
      <c r="A8" s="223" t="s">
        <v>42</v>
      </c>
      <c r="B8" s="19">
        <f>Page_17!H7</f>
        <v>132868</v>
      </c>
      <c r="C8" s="19">
        <f>Page_18!D11</f>
        <v>1186158</v>
      </c>
      <c r="D8" s="19">
        <f t="shared" ref="D8:D39" si="0">SUM(B8:C8)</f>
        <v>1319026</v>
      </c>
      <c r="E8" s="19">
        <v>165404</v>
      </c>
      <c r="F8" s="51">
        <v>65597.141237296659</v>
      </c>
      <c r="G8" s="19">
        <v>3803830</v>
      </c>
      <c r="H8" s="19">
        <f>Page_20!E7</f>
        <v>770501</v>
      </c>
      <c r="I8" s="234">
        <v>4574331</v>
      </c>
      <c r="J8" s="19"/>
      <c r="K8" s="19"/>
      <c r="L8" s="19"/>
      <c r="M8" s="19"/>
      <c r="N8" s="19"/>
      <c r="O8" s="19"/>
      <c r="P8" s="51"/>
      <c r="Q8" s="115"/>
      <c r="R8" s="97"/>
      <c r="S8" s="29"/>
      <c r="T8" s="29"/>
      <c r="U8" s="29"/>
      <c r="V8" s="29"/>
      <c r="W8" s="29"/>
      <c r="X8" s="29"/>
      <c r="Y8" s="29"/>
    </row>
    <row r="9" spans="1:25" s="54" customFormat="1" ht="14.15" customHeight="1" x14ac:dyDescent="0.35">
      <c r="A9" s="223" t="s">
        <v>43</v>
      </c>
      <c r="B9" s="19">
        <f>Page_17!H8</f>
        <v>107296</v>
      </c>
      <c r="C9" s="19">
        <f>Page_18!D12</f>
        <v>1173839</v>
      </c>
      <c r="D9" s="19">
        <f t="shared" si="0"/>
        <v>1281135</v>
      </c>
      <c r="E9" s="19">
        <v>154113</v>
      </c>
      <c r="F9" s="51">
        <v>71945.477433286564</v>
      </c>
      <c r="G9" s="19">
        <v>4536723.4000000004</v>
      </c>
      <c r="H9" s="19">
        <f>Page_20!E8</f>
        <v>781530</v>
      </c>
      <c r="I9" s="235">
        <v>5318253.4000000004</v>
      </c>
      <c r="J9" s="19"/>
      <c r="K9" s="19"/>
      <c r="L9" s="19"/>
      <c r="M9" s="19"/>
      <c r="N9" s="19"/>
      <c r="O9" s="19"/>
      <c r="P9" s="51"/>
      <c r="Q9" s="115"/>
      <c r="R9" s="97"/>
      <c r="S9" s="29"/>
      <c r="T9" s="29"/>
      <c r="U9" s="29"/>
      <c r="V9" s="29"/>
      <c r="W9" s="29"/>
      <c r="X9" s="29"/>
      <c r="Y9" s="29"/>
    </row>
    <row r="10" spans="1:25" s="54" customFormat="1" ht="14.15" customHeight="1" x14ac:dyDescent="0.35">
      <c r="A10" s="223" t="s">
        <v>44</v>
      </c>
      <c r="B10" s="19">
        <f>Page_17!H9</f>
        <v>112695</v>
      </c>
      <c r="C10" s="19">
        <f>Page_18!D13</f>
        <v>1019470</v>
      </c>
      <c r="D10" s="19">
        <f t="shared" si="0"/>
        <v>1132165</v>
      </c>
      <c r="E10" s="19">
        <v>137739</v>
      </c>
      <c r="F10" s="51">
        <v>64736.392176498943</v>
      </c>
      <c r="G10" s="19">
        <v>4409954.2</v>
      </c>
      <c r="H10" s="19">
        <f>Page_20!E9</f>
        <v>677512</v>
      </c>
      <c r="I10" s="234">
        <v>5087466.2</v>
      </c>
      <c r="J10" s="19"/>
      <c r="K10" s="19"/>
      <c r="L10" s="19"/>
      <c r="M10" s="19"/>
      <c r="N10" s="19"/>
      <c r="O10" s="19"/>
      <c r="P10" s="51"/>
      <c r="Q10" s="115"/>
      <c r="R10" s="97"/>
      <c r="S10" s="29"/>
      <c r="T10" s="29"/>
      <c r="U10" s="29"/>
      <c r="V10" s="29"/>
      <c r="W10" s="29"/>
      <c r="X10" s="29"/>
      <c r="Y10" s="29"/>
    </row>
    <row r="11" spans="1:25" s="54" customFormat="1" ht="14.15" customHeight="1" x14ac:dyDescent="0.35">
      <c r="A11" s="223" t="s">
        <v>45</v>
      </c>
      <c r="B11" s="19">
        <f>Page_17!H10</f>
        <v>170038</v>
      </c>
      <c r="C11" s="19">
        <f>Page_18!D14</f>
        <v>1440790</v>
      </c>
      <c r="D11" s="19">
        <f t="shared" si="0"/>
        <v>1610828</v>
      </c>
      <c r="E11" s="19">
        <v>231187</v>
      </c>
      <c r="F11" s="51">
        <v>81621.784189098122</v>
      </c>
      <c r="G11" s="19">
        <v>4838363.1999999993</v>
      </c>
      <c r="H11" s="19">
        <f>Page_20!E10</f>
        <v>771358</v>
      </c>
      <c r="I11" s="235">
        <v>5609721.1999999993</v>
      </c>
      <c r="J11" s="19"/>
      <c r="K11" s="19"/>
      <c r="L11" s="19"/>
      <c r="M11" s="19"/>
      <c r="N11" s="19"/>
      <c r="O11" s="19"/>
      <c r="P11" s="51"/>
      <c r="Q11" s="115"/>
      <c r="R11" s="97"/>
      <c r="S11" s="29"/>
      <c r="T11" s="29"/>
      <c r="U11" s="29"/>
      <c r="V11" s="29"/>
      <c r="W11" s="29"/>
      <c r="X11" s="29"/>
      <c r="Y11" s="29"/>
    </row>
    <row r="12" spans="1:25" s="54" customFormat="1" ht="14.15" customHeight="1" x14ac:dyDescent="0.35">
      <c r="A12" s="223" t="s">
        <v>46</v>
      </c>
      <c r="B12" s="19">
        <f>Page_17!H11</f>
        <v>157831</v>
      </c>
      <c r="C12" s="19">
        <f>Page_18!D15</f>
        <v>1295076</v>
      </c>
      <c r="D12" s="19">
        <f t="shared" si="0"/>
        <v>1452907</v>
      </c>
      <c r="E12" s="19">
        <v>232670</v>
      </c>
      <c r="F12" s="51">
        <v>71445.905469375153</v>
      </c>
      <c r="G12" s="19">
        <v>3872510.6</v>
      </c>
      <c r="H12" s="19">
        <f>Page_20!E11</f>
        <v>692612</v>
      </c>
      <c r="I12" s="234">
        <v>4565122.5999999996</v>
      </c>
      <c r="J12" s="19"/>
      <c r="K12" s="19"/>
      <c r="L12" s="19"/>
      <c r="M12" s="19"/>
      <c r="N12" s="19"/>
      <c r="O12" s="19"/>
      <c r="P12" s="51"/>
      <c r="Q12" s="115"/>
      <c r="R12" s="97"/>
      <c r="S12" s="29"/>
      <c r="T12" s="29"/>
      <c r="U12" s="29"/>
      <c r="V12" s="29"/>
      <c r="W12" s="29"/>
      <c r="X12" s="29"/>
      <c r="Y12" s="29"/>
    </row>
    <row r="13" spans="1:25" s="54" customFormat="1" ht="14.15" customHeight="1" x14ac:dyDescent="0.35">
      <c r="A13" s="223" t="s">
        <v>47</v>
      </c>
      <c r="B13" s="19">
        <f>Page_17!H12</f>
        <v>144725</v>
      </c>
      <c r="C13" s="19">
        <f>Page_18!D16</f>
        <v>1149370</v>
      </c>
      <c r="D13" s="19">
        <f t="shared" si="0"/>
        <v>1294095</v>
      </c>
      <c r="E13" s="19">
        <v>218139</v>
      </c>
      <c r="F13" s="51">
        <v>67276.750999657481</v>
      </c>
      <c r="G13" s="19">
        <v>4514067.5999999996</v>
      </c>
      <c r="H13" s="19">
        <f>Page_20!E12</f>
        <v>681039</v>
      </c>
      <c r="I13" s="235">
        <v>5195106.5999999996</v>
      </c>
      <c r="J13" s="19"/>
      <c r="K13" s="19"/>
      <c r="L13" s="19"/>
      <c r="M13" s="19"/>
      <c r="N13" s="19"/>
      <c r="O13" s="19"/>
      <c r="P13" s="51"/>
      <c r="Q13" s="115"/>
      <c r="R13" s="97"/>
      <c r="S13" s="29"/>
      <c r="T13" s="29"/>
      <c r="U13" s="29"/>
      <c r="V13" s="29"/>
      <c r="W13" s="29"/>
      <c r="X13" s="29"/>
      <c r="Y13" s="29"/>
    </row>
    <row r="14" spans="1:25" s="54" customFormat="1" ht="14.15" customHeight="1" x14ac:dyDescent="0.35">
      <c r="A14" s="223" t="s">
        <v>48</v>
      </c>
      <c r="B14" s="19">
        <f>Page_17!H13</f>
        <v>159966</v>
      </c>
      <c r="C14" s="19">
        <f>Page_18!D17</f>
        <v>1268146</v>
      </c>
      <c r="D14" s="19">
        <f t="shared" si="0"/>
        <v>1428112</v>
      </c>
      <c r="E14" s="19">
        <v>261640</v>
      </c>
      <c r="F14" s="51">
        <v>61119.228099266315</v>
      </c>
      <c r="G14" s="19">
        <v>3760081</v>
      </c>
      <c r="H14" s="19">
        <f>Page_20!E13</f>
        <v>630413</v>
      </c>
      <c r="I14" s="234">
        <v>4390494</v>
      </c>
      <c r="J14" s="19"/>
      <c r="K14" s="19"/>
      <c r="L14" s="19"/>
      <c r="M14" s="19"/>
      <c r="N14" s="19"/>
      <c r="O14" s="19"/>
      <c r="P14" s="51"/>
      <c r="Q14" s="115"/>
      <c r="R14" s="97"/>
      <c r="S14" s="29"/>
      <c r="T14" s="29"/>
      <c r="U14" s="29"/>
      <c r="V14" s="29"/>
      <c r="W14" s="29"/>
      <c r="X14" s="29"/>
      <c r="Y14" s="29"/>
    </row>
    <row r="15" spans="1:25" s="54" customFormat="1" ht="14.15" customHeight="1" x14ac:dyDescent="0.35">
      <c r="A15" s="223" t="s">
        <v>49</v>
      </c>
      <c r="B15" s="19">
        <f>Page_17!H14</f>
        <v>165618</v>
      </c>
      <c r="C15" s="19">
        <f>Page_18!D18</f>
        <v>1290229</v>
      </c>
      <c r="D15" s="19">
        <f t="shared" si="0"/>
        <v>1455847</v>
      </c>
      <c r="E15" s="19">
        <v>259371</v>
      </c>
      <c r="F15" s="51">
        <v>55994.521504722179</v>
      </c>
      <c r="G15" s="19">
        <v>3542491</v>
      </c>
      <c r="H15" s="19">
        <f>Page_20!E14</f>
        <v>584609</v>
      </c>
      <c r="I15" s="235">
        <v>4127100</v>
      </c>
      <c r="J15" s="19"/>
      <c r="K15" s="19"/>
      <c r="L15" s="19"/>
      <c r="M15" s="19"/>
      <c r="N15" s="19"/>
      <c r="O15" s="19"/>
      <c r="P15" s="51"/>
      <c r="Q15" s="115"/>
      <c r="R15" s="97"/>
      <c r="S15" s="29"/>
      <c r="T15" s="29"/>
      <c r="U15" s="29"/>
      <c r="V15" s="29"/>
      <c r="W15" s="29"/>
      <c r="X15" s="29"/>
      <c r="Y15" s="29"/>
    </row>
    <row r="16" spans="1:25" s="54" customFormat="1" ht="14.15" customHeight="1" x14ac:dyDescent="0.35">
      <c r="A16" s="223" t="s">
        <v>50</v>
      </c>
      <c r="B16" s="19">
        <f>Page_17!H15</f>
        <v>148332</v>
      </c>
      <c r="C16" s="19">
        <f>Page_18!D19</f>
        <v>1116309</v>
      </c>
      <c r="D16" s="19">
        <f t="shared" si="0"/>
        <v>1264641</v>
      </c>
      <c r="E16" s="19">
        <v>236053</v>
      </c>
      <c r="F16" s="51">
        <v>64441.709793614202</v>
      </c>
      <c r="G16" s="19">
        <v>3310182</v>
      </c>
      <c r="H16" s="19">
        <f>Page_20!E15</f>
        <v>603057</v>
      </c>
      <c r="I16" s="234">
        <v>3913239</v>
      </c>
      <c r="J16" s="19"/>
      <c r="K16" s="19"/>
      <c r="L16" s="19"/>
      <c r="M16" s="19"/>
      <c r="N16" s="19"/>
      <c r="O16" s="19"/>
      <c r="P16" s="51"/>
      <c r="Q16" s="115"/>
      <c r="R16" s="97"/>
      <c r="S16" s="29"/>
      <c r="T16" s="29"/>
      <c r="U16" s="29"/>
      <c r="V16" s="29"/>
      <c r="W16" s="29"/>
      <c r="X16" s="29"/>
      <c r="Y16" s="29"/>
    </row>
    <row r="17" spans="1:25" s="54" customFormat="1" ht="14.15" customHeight="1" x14ac:dyDescent="0.35">
      <c r="A17" s="223" t="s">
        <v>51</v>
      </c>
      <c r="B17" s="19">
        <f>Page_17!H16</f>
        <v>125530</v>
      </c>
      <c r="C17" s="19">
        <f>Page_18!D20</f>
        <v>819689</v>
      </c>
      <c r="D17" s="19">
        <f t="shared" si="0"/>
        <v>945219</v>
      </c>
      <c r="E17" s="19">
        <v>134070</v>
      </c>
      <c r="F17" s="51">
        <v>42022.889602257892</v>
      </c>
      <c r="G17" s="19">
        <v>2419809</v>
      </c>
      <c r="H17" s="19">
        <f>Page_20!E16</f>
        <v>611195</v>
      </c>
      <c r="I17" s="235">
        <v>3031004</v>
      </c>
      <c r="J17" s="19"/>
      <c r="K17" s="19"/>
      <c r="L17" s="19"/>
      <c r="M17" s="19"/>
      <c r="N17" s="19"/>
      <c r="O17" s="19"/>
      <c r="P17" s="51"/>
      <c r="Q17" s="115"/>
      <c r="R17" s="97"/>
      <c r="S17" s="29"/>
      <c r="T17" s="29"/>
      <c r="U17" s="29"/>
      <c r="V17" s="29"/>
      <c r="W17" s="29"/>
      <c r="X17" s="29"/>
      <c r="Y17" s="29"/>
    </row>
    <row r="18" spans="1:25" s="54" customFormat="1" ht="14.15" customHeight="1" x14ac:dyDescent="0.35">
      <c r="A18" s="223" t="s">
        <v>52</v>
      </c>
      <c r="B18" s="19">
        <f>Page_17!H17</f>
        <v>74445</v>
      </c>
      <c r="C18" s="19">
        <f>Page_18!D21</f>
        <v>323058</v>
      </c>
      <c r="D18" s="19">
        <f t="shared" si="0"/>
        <v>397503</v>
      </c>
      <c r="E18" s="19">
        <v>100508</v>
      </c>
      <c r="F18" s="51">
        <v>21300.195682609541</v>
      </c>
      <c r="G18" s="19">
        <v>1896767.7999999998</v>
      </c>
      <c r="H18" s="19">
        <f>Page_20!E17</f>
        <v>538515</v>
      </c>
      <c r="I18" s="234">
        <v>2435282.7999999998</v>
      </c>
      <c r="J18" s="19"/>
      <c r="K18" s="19"/>
      <c r="L18" s="19"/>
      <c r="M18" s="19"/>
      <c r="N18" s="19"/>
      <c r="O18" s="19"/>
      <c r="P18" s="51"/>
      <c r="Q18" s="115"/>
      <c r="R18" s="97"/>
      <c r="S18" s="29"/>
      <c r="T18" s="29"/>
      <c r="U18" s="29"/>
      <c r="V18" s="29"/>
      <c r="W18" s="29"/>
      <c r="X18" s="29"/>
      <c r="Y18" s="29"/>
    </row>
    <row r="19" spans="1:25" s="54" customFormat="1" ht="14.15" customHeight="1" x14ac:dyDescent="0.35">
      <c r="A19" s="223" t="s">
        <v>53</v>
      </c>
      <c r="B19" s="19">
        <f>Page_17!H18</f>
        <v>56171</v>
      </c>
      <c r="C19" s="19">
        <f>Page_18!D22</f>
        <v>331386</v>
      </c>
      <c r="D19" s="19">
        <f t="shared" si="0"/>
        <v>387557</v>
      </c>
      <c r="E19" s="19">
        <v>83292</v>
      </c>
      <c r="F19" s="51">
        <v>15458.962646594096</v>
      </c>
      <c r="G19" s="19">
        <v>1749491.2</v>
      </c>
      <c r="H19" s="19">
        <f>Page_20!E18</f>
        <v>473245</v>
      </c>
      <c r="I19" s="235">
        <v>2222736.2000000002</v>
      </c>
      <c r="J19" s="19"/>
      <c r="K19" s="19"/>
      <c r="L19" s="19"/>
      <c r="M19" s="19"/>
      <c r="N19" s="19"/>
      <c r="O19" s="19"/>
      <c r="P19" s="51"/>
      <c r="Q19" s="115"/>
      <c r="R19" s="97"/>
      <c r="S19" s="29"/>
      <c r="T19" s="29"/>
      <c r="U19" s="29"/>
      <c r="V19" s="29"/>
      <c r="W19" s="29"/>
      <c r="X19" s="29"/>
      <c r="Y19" s="29"/>
    </row>
    <row r="20" spans="1:25" s="54" customFormat="1" ht="14.15" customHeight="1" x14ac:dyDescent="0.35">
      <c r="A20" s="223" t="s">
        <v>54</v>
      </c>
      <c r="B20" s="19">
        <f>Page_17!H19</f>
        <v>100774</v>
      </c>
      <c r="C20" s="19">
        <f>Page_18!D23</f>
        <v>535138</v>
      </c>
      <c r="D20" s="19">
        <f t="shared" si="0"/>
        <v>635912</v>
      </c>
      <c r="E20" s="19">
        <v>192612</v>
      </c>
      <c r="F20" s="51">
        <v>41505.143109404438</v>
      </c>
      <c r="G20" s="19">
        <v>3251822.8</v>
      </c>
      <c r="H20" s="19">
        <f>Page_20!E19</f>
        <v>565523</v>
      </c>
      <c r="I20" s="234">
        <v>3817345.8</v>
      </c>
      <c r="J20" s="19"/>
      <c r="K20" s="19"/>
      <c r="L20" s="19"/>
      <c r="M20" s="19"/>
      <c r="N20" s="19"/>
      <c r="O20" s="19"/>
      <c r="P20" s="51"/>
      <c r="Q20" s="115"/>
      <c r="R20" s="97"/>
      <c r="S20" s="29"/>
      <c r="T20" s="29"/>
      <c r="U20" s="29"/>
      <c r="V20" s="29"/>
      <c r="W20" s="29"/>
      <c r="X20" s="29"/>
      <c r="Y20" s="29"/>
    </row>
    <row r="21" spans="1:25" s="54" customFormat="1" ht="14.15" customHeight="1" x14ac:dyDescent="0.35">
      <c r="A21" s="223" t="s">
        <v>55</v>
      </c>
      <c r="B21" s="19">
        <f>Page_17!H20</f>
        <v>128022</v>
      </c>
      <c r="C21" s="19">
        <f>Page_18!D24</f>
        <v>706444</v>
      </c>
      <c r="D21" s="19">
        <f t="shared" si="0"/>
        <v>834466</v>
      </c>
      <c r="E21" s="19">
        <v>170280</v>
      </c>
      <c r="F21" s="51">
        <v>35706.806558258555</v>
      </c>
      <c r="G21" s="19">
        <v>2572980</v>
      </c>
      <c r="H21" s="19">
        <f>Page_20!E20</f>
        <v>517721</v>
      </c>
      <c r="I21" s="235">
        <v>3090701</v>
      </c>
      <c r="J21" s="19"/>
      <c r="K21" s="19"/>
      <c r="L21" s="19"/>
      <c r="M21" s="19"/>
      <c r="N21" s="19"/>
      <c r="O21" s="19"/>
      <c r="P21" s="51"/>
      <c r="Q21" s="115"/>
      <c r="R21" s="97"/>
      <c r="S21" s="29"/>
      <c r="T21" s="29"/>
      <c r="U21" s="29"/>
      <c r="V21" s="29"/>
      <c r="W21" s="29"/>
      <c r="X21" s="29"/>
      <c r="Y21" s="29"/>
    </row>
    <row r="22" spans="1:25" s="54" customFormat="1" ht="14.15" customHeight="1" x14ac:dyDescent="0.35">
      <c r="A22" s="223" t="s">
        <v>56</v>
      </c>
      <c r="B22" s="19">
        <f>Page_17!H21</f>
        <v>130829</v>
      </c>
      <c r="C22" s="19">
        <f>Page_18!D25</f>
        <v>745039</v>
      </c>
      <c r="D22" s="19">
        <f t="shared" si="0"/>
        <v>875868</v>
      </c>
      <c r="E22" s="19">
        <v>202655</v>
      </c>
      <c r="F22" s="51">
        <v>43913.377707402789</v>
      </c>
      <c r="G22" s="19">
        <v>2961115</v>
      </c>
      <c r="H22" s="19">
        <f>Page_20!E21</f>
        <v>611782</v>
      </c>
      <c r="I22" s="234">
        <v>3572897</v>
      </c>
      <c r="J22" s="19"/>
      <c r="K22" s="19"/>
      <c r="L22" s="19"/>
      <c r="M22" s="19"/>
      <c r="N22" s="19"/>
      <c r="O22" s="19"/>
      <c r="P22" s="51"/>
      <c r="Q22" s="115"/>
      <c r="R22" s="97"/>
      <c r="S22" s="29"/>
      <c r="T22" s="29"/>
      <c r="U22" s="29"/>
      <c r="V22" s="29"/>
      <c r="W22" s="29"/>
      <c r="X22" s="29"/>
      <c r="Y22" s="29"/>
    </row>
    <row r="23" spans="1:25" s="54" customFormat="1" ht="14.15" customHeight="1" x14ac:dyDescent="0.35">
      <c r="A23" s="223" t="s">
        <v>57</v>
      </c>
      <c r="B23" s="51">
        <f>Page_17!H22</f>
        <v>196690</v>
      </c>
      <c r="C23" s="19">
        <f>Page_18!D26</f>
        <v>1186593</v>
      </c>
      <c r="D23" s="19">
        <f t="shared" si="0"/>
        <v>1383283</v>
      </c>
      <c r="E23" s="51">
        <v>215180</v>
      </c>
      <c r="F23" s="51">
        <v>46333.293323447753</v>
      </c>
      <c r="G23" s="51">
        <v>4706846.8</v>
      </c>
      <c r="H23" s="51">
        <f>Page_20!E22</f>
        <v>714238</v>
      </c>
      <c r="I23" s="235">
        <v>5421084.7999999998</v>
      </c>
      <c r="J23" s="51"/>
      <c r="K23" s="51"/>
      <c r="L23" s="51"/>
      <c r="M23" s="51"/>
      <c r="N23" s="51"/>
      <c r="O23" s="51"/>
      <c r="P23" s="51"/>
      <c r="Q23" s="115"/>
      <c r="R23" s="160"/>
      <c r="S23" s="29"/>
      <c r="T23" s="29"/>
      <c r="U23" s="29"/>
      <c r="V23" s="29"/>
      <c r="W23" s="29"/>
      <c r="X23" s="29"/>
      <c r="Y23" s="29"/>
    </row>
    <row r="24" spans="1:25" s="54" customFormat="1" ht="14.15" customHeight="1" x14ac:dyDescent="0.35">
      <c r="A24" s="223" t="s">
        <v>58</v>
      </c>
      <c r="B24" s="19">
        <f>Page_17!H23</f>
        <v>141022</v>
      </c>
      <c r="C24" s="19">
        <f>Page_18!D27</f>
        <v>1013778</v>
      </c>
      <c r="D24" s="19">
        <f t="shared" si="0"/>
        <v>1154800</v>
      </c>
      <c r="E24" s="19">
        <v>233614</v>
      </c>
      <c r="F24" s="51">
        <v>54702.650546459547</v>
      </c>
      <c r="G24" s="19">
        <v>3763358</v>
      </c>
      <c r="H24" s="19">
        <f>Page_20!E23</f>
        <v>361240</v>
      </c>
      <c r="I24" s="234">
        <v>4124598</v>
      </c>
      <c r="J24" s="19"/>
      <c r="K24" s="19"/>
      <c r="L24" s="19"/>
      <c r="M24" s="19"/>
      <c r="N24" s="19"/>
      <c r="O24" s="19"/>
      <c r="P24" s="51"/>
      <c r="Q24" s="115"/>
      <c r="R24" s="97"/>
      <c r="S24" s="29"/>
      <c r="T24" s="29"/>
      <c r="U24" s="29"/>
      <c r="V24" s="29"/>
      <c r="W24" s="29"/>
      <c r="X24" s="29"/>
      <c r="Y24" s="29"/>
    </row>
    <row r="25" spans="1:25" s="54" customFormat="1" ht="14.15" customHeight="1" x14ac:dyDescent="0.35">
      <c r="A25" s="223" t="s">
        <v>59</v>
      </c>
      <c r="B25" s="19">
        <f>Page_17!H24</f>
        <v>122411</v>
      </c>
      <c r="C25" s="19">
        <f>Page_18!D28</f>
        <v>904867</v>
      </c>
      <c r="D25" s="19">
        <f t="shared" si="0"/>
        <v>1027278</v>
      </c>
      <c r="E25" s="19">
        <v>155829</v>
      </c>
      <c r="F25" s="51">
        <v>35908.826613076388</v>
      </c>
      <c r="G25" s="19">
        <v>2678474</v>
      </c>
      <c r="H25" s="19">
        <f>Page_20!E24</f>
        <v>545749</v>
      </c>
      <c r="I25" s="235">
        <v>3224223</v>
      </c>
      <c r="J25" s="19"/>
      <c r="K25" s="19"/>
      <c r="L25" s="19"/>
      <c r="M25" s="19"/>
      <c r="N25" s="19"/>
      <c r="O25" s="19"/>
      <c r="P25" s="51"/>
      <c r="Q25" s="115"/>
      <c r="R25" s="97"/>
      <c r="S25" s="29"/>
      <c r="T25" s="29"/>
      <c r="U25" s="29"/>
      <c r="V25" s="29"/>
      <c r="W25" s="29"/>
      <c r="X25" s="29"/>
      <c r="Y25" s="29"/>
    </row>
    <row r="26" spans="1:25" s="54" customFormat="1" ht="14.15" customHeight="1" x14ac:dyDescent="0.35">
      <c r="A26" s="223" t="s">
        <v>111</v>
      </c>
      <c r="B26" s="19">
        <f>Page_17!H25</f>
        <v>147469</v>
      </c>
      <c r="C26" s="19">
        <f>Page_18!D29</f>
        <v>1111200</v>
      </c>
      <c r="D26" s="19">
        <f t="shared" si="0"/>
        <v>1258669</v>
      </c>
      <c r="E26" s="19">
        <v>209963</v>
      </c>
      <c r="F26" s="51">
        <v>39750.101135786361</v>
      </c>
      <c r="G26" s="19">
        <v>3347600</v>
      </c>
      <c r="H26" s="19">
        <f>Page_20!E25</f>
        <v>636420</v>
      </c>
      <c r="I26" s="234">
        <v>3984020</v>
      </c>
      <c r="J26" s="19"/>
      <c r="K26" s="19"/>
      <c r="L26" s="19"/>
      <c r="M26" s="19"/>
      <c r="N26" s="19"/>
      <c r="O26" s="19"/>
      <c r="P26" s="51"/>
      <c r="Q26" s="115"/>
      <c r="R26" s="97"/>
      <c r="S26" s="29"/>
      <c r="T26" s="29"/>
      <c r="U26" s="29"/>
      <c r="V26" s="29"/>
      <c r="W26" s="29"/>
      <c r="X26" s="29"/>
      <c r="Y26" s="29"/>
    </row>
    <row r="27" spans="1:25" s="54" customFormat="1" ht="14.15" customHeight="1" x14ac:dyDescent="0.35">
      <c r="A27" s="223" t="s">
        <v>60</v>
      </c>
      <c r="B27" s="19">
        <f>Page_17!H26</f>
        <v>108251</v>
      </c>
      <c r="C27" s="19">
        <f>Page_18!D30</f>
        <v>480768</v>
      </c>
      <c r="D27" s="19">
        <f t="shared" si="0"/>
        <v>589019</v>
      </c>
      <c r="E27" s="19">
        <v>234464</v>
      </c>
      <c r="F27" s="51">
        <v>40144.077104786789</v>
      </c>
      <c r="G27" s="19">
        <v>3155394</v>
      </c>
      <c r="H27" s="19">
        <f>Page_20!E26</f>
        <v>651993</v>
      </c>
      <c r="I27" s="235">
        <v>3807387</v>
      </c>
      <c r="J27" s="19"/>
      <c r="K27" s="19"/>
      <c r="L27" s="19"/>
      <c r="M27" s="19"/>
      <c r="N27" s="19"/>
      <c r="O27" s="19"/>
      <c r="P27" s="51"/>
      <c r="Q27" s="115"/>
      <c r="R27" s="29"/>
      <c r="S27" s="29"/>
      <c r="T27" s="29"/>
      <c r="U27" s="29"/>
      <c r="V27" s="29"/>
      <c r="W27" s="29"/>
      <c r="X27" s="29"/>
      <c r="Y27" s="29"/>
    </row>
    <row r="28" spans="1:25" s="54" customFormat="1" ht="14.15" customHeight="1" x14ac:dyDescent="0.35">
      <c r="A28" s="223" t="s">
        <v>61</v>
      </c>
      <c r="B28" s="19">
        <f>Page_17!H27</f>
        <v>151819</v>
      </c>
      <c r="C28" s="19">
        <f>Page_18!D31</f>
        <v>781658</v>
      </c>
      <c r="D28" s="19">
        <f t="shared" si="0"/>
        <v>933477</v>
      </c>
      <c r="E28" s="19">
        <v>162264</v>
      </c>
      <c r="F28" s="51">
        <v>32008.144642596752</v>
      </c>
      <c r="G28" s="19">
        <v>2794309</v>
      </c>
      <c r="H28" s="19">
        <f>Page_20!E27</f>
        <v>615706.71697999991</v>
      </c>
      <c r="I28" s="234">
        <v>3410015.71698</v>
      </c>
      <c r="J28" s="19"/>
      <c r="K28" s="19"/>
      <c r="L28" s="19"/>
      <c r="M28" s="19"/>
      <c r="N28" s="19"/>
      <c r="O28" s="19"/>
      <c r="P28" s="51"/>
      <c r="Q28" s="115"/>
      <c r="R28" s="29"/>
      <c r="S28" s="29"/>
      <c r="T28" s="29"/>
      <c r="U28" s="29"/>
      <c r="V28" s="29"/>
      <c r="W28" s="29"/>
      <c r="X28" s="29"/>
      <c r="Y28" s="29"/>
    </row>
    <row r="29" spans="1:25" s="54" customFormat="1" ht="14.15" customHeight="1" x14ac:dyDescent="0.35">
      <c r="A29" s="223" t="s">
        <v>62</v>
      </c>
      <c r="B29" s="19">
        <f>Page_17!H28</f>
        <v>113507</v>
      </c>
      <c r="C29" s="19">
        <f>Page_18!D32</f>
        <v>720402</v>
      </c>
      <c r="D29" s="19">
        <f t="shared" si="0"/>
        <v>833909</v>
      </c>
      <c r="E29" s="19">
        <v>227996</v>
      </c>
      <c r="F29" s="51">
        <v>36549.21522858306</v>
      </c>
      <c r="G29" s="19">
        <v>2694279</v>
      </c>
      <c r="H29" s="19">
        <f>Page_20!E28</f>
        <v>618223.07110300008</v>
      </c>
      <c r="I29" s="235">
        <v>3312502.0711030001</v>
      </c>
      <c r="J29" s="19"/>
      <c r="K29" s="19"/>
      <c r="L29" s="19"/>
      <c r="M29" s="19"/>
      <c r="N29" s="19"/>
      <c r="O29" s="19"/>
      <c r="P29" s="51"/>
      <c r="Q29" s="115"/>
      <c r="R29" s="29"/>
      <c r="S29" s="29"/>
      <c r="T29" s="29"/>
      <c r="U29" s="29"/>
      <c r="V29" s="29"/>
      <c r="W29" s="29"/>
      <c r="X29" s="29"/>
      <c r="Y29" s="29"/>
    </row>
    <row r="30" spans="1:25" s="54" customFormat="1" ht="14.15" customHeight="1" x14ac:dyDescent="0.35">
      <c r="A30" s="223" t="s">
        <v>63</v>
      </c>
      <c r="B30" s="19">
        <f>Page_17!H29</f>
        <v>146088</v>
      </c>
      <c r="C30" s="19">
        <f>Page_18!D33</f>
        <v>860608</v>
      </c>
      <c r="D30" s="19">
        <f t="shared" si="0"/>
        <v>1006696</v>
      </c>
      <c r="E30" s="19">
        <v>197645</v>
      </c>
      <c r="F30" s="51">
        <v>45651.613990722428</v>
      </c>
      <c r="G30" s="19">
        <v>3133953</v>
      </c>
      <c r="H30" s="19">
        <f>Page_20!E29</f>
        <v>637542.78823599999</v>
      </c>
      <c r="I30" s="234">
        <v>3771495.7882360001</v>
      </c>
      <c r="J30" s="19"/>
      <c r="K30" s="19"/>
      <c r="L30" s="19"/>
      <c r="M30" s="19"/>
      <c r="N30" s="19"/>
      <c r="O30" s="19"/>
      <c r="P30" s="51"/>
      <c r="Q30" s="115"/>
      <c r="R30" s="29"/>
      <c r="S30" s="29"/>
      <c r="T30" s="29"/>
      <c r="U30" s="29"/>
      <c r="V30" s="29"/>
      <c r="W30" s="29"/>
      <c r="X30" s="29"/>
      <c r="Y30" s="29"/>
    </row>
    <row r="31" spans="1:25" s="54" customFormat="1" ht="14.15" customHeight="1" x14ac:dyDescent="0.35">
      <c r="A31" s="224" t="s">
        <v>64</v>
      </c>
      <c r="B31" s="19">
        <f>Page_17!H30</f>
        <v>157721</v>
      </c>
      <c r="C31" s="19">
        <f>Page_18!D34</f>
        <v>906707</v>
      </c>
      <c r="D31" s="19">
        <f t="shared" si="0"/>
        <v>1064428</v>
      </c>
      <c r="E31" s="19">
        <v>207047</v>
      </c>
      <c r="F31" s="51">
        <v>34203.159055959033</v>
      </c>
      <c r="G31" s="19">
        <v>3076847</v>
      </c>
      <c r="H31" s="19">
        <f>Page_20!E30</f>
        <v>632235.01117499999</v>
      </c>
      <c r="I31" s="235">
        <v>3709082.0111750001</v>
      </c>
      <c r="J31" s="19"/>
      <c r="K31" s="19"/>
      <c r="L31" s="19"/>
      <c r="M31" s="19"/>
      <c r="N31" s="19"/>
      <c r="O31" s="19"/>
      <c r="P31" s="51"/>
      <c r="Q31" s="115"/>
      <c r="R31" s="29"/>
      <c r="S31" s="29"/>
      <c r="T31" s="29"/>
      <c r="U31" s="29"/>
      <c r="V31" s="29"/>
      <c r="W31" s="29"/>
      <c r="X31" s="29"/>
      <c r="Y31" s="29"/>
    </row>
    <row r="32" spans="1:25" s="54" customFormat="1" ht="14.15" customHeight="1" x14ac:dyDescent="0.35">
      <c r="A32" s="224" t="s">
        <v>65</v>
      </c>
      <c r="B32" s="19">
        <f>Page_17!H31</f>
        <v>135457</v>
      </c>
      <c r="C32" s="19">
        <f>Page_18!D35</f>
        <v>795789</v>
      </c>
      <c r="D32" s="19">
        <f t="shared" si="0"/>
        <v>931246</v>
      </c>
      <c r="E32" s="19">
        <v>205693</v>
      </c>
      <c r="F32" s="51">
        <v>40449.656553893037</v>
      </c>
      <c r="G32" s="19">
        <v>3409761</v>
      </c>
      <c r="H32" s="19">
        <f>Page_20!E31</f>
        <v>666918.90799199999</v>
      </c>
      <c r="I32" s="234">
        <v>4076679.9079919998</v>
      </c>
      <c r="J32" s="19"/>
      <c r="K32" s="19"/>
      <c r="L32" s="19"/>
      <c r="M32" s="19"/>
      <c r="N32" s="19"/>
      <c r="O32" s="19"/>
      <c r="P32" s="51"/>
      <c r="Q32" s="115"/>
      <c r="R32" s="29"/>
      <c r="S32" s="29"/>
      <c r="T32" s="29"/>
      <c r="U32" s="29"/>
      <c r="V32" s="29"/>
      <c r="W32" s="29"/>
      <c r="X32" s="29"/>
      <c r="Y32" s="29"/>
    </row>
    <row r="33" spans="1:25" s="54" customFormat="1" ht="14.15" customHeight="1" x14ac:dyDescent="0.35">
      <c r="A33" s="224" t="s">
        <v>66</v>
      </c>
      <c r="B33" s="19">
        <f>Page_17!H32</f>
        <v>156874</v>
      </c>
      <c r="C33" s="19">
        <f>Page_18!D36</f>
        <v>1066037</v>
      </c>
      <c r="D33" s="19">
        <f t="shared" si="0"/>
        <v>1222911</v>
      </c>
      <c r="E33" s="19">
        <v>209179</v>
      </c>
      <c r="F33" s="51">
        <v>9161.455253689528</v>
      </c>
      <c r="G33" s="19">
        <v>3318262</v>
      </c>
      <c r="H33" s="19">
        <f>Page_20!E32</f>
        <v>636436.30994800001</v>
      </c>
      <c r="I33" s="235">
        <v>3954698.3099480001</v>
      </c>
      <c r="J33" s="19"/>
      <c r="K33" s="19"/>
      <c r="L33" s="19"/>
      <c r="M33" s="19"/>
      <c r="N33" s="19"/>
      <c r="O33" s="19"/>
      <c r="P33" s="51"/>
      <c r="Q33" s="115"/>
      <c r="R33" s="29"/>
      <c r="S33" s="29"/>
      <c r="T33" s="29"/>
      <c r="U33" s="29"/>
      <c r="V33" s="29"/>
      <c r="W33" s="29"/>
      <c r="X33" s="29"/>
      <c r="Y33" s="29"/>
    </row>
    <row r="34" spans="1:25" s="54" customFormat="1" ht="14.15" customHeight="1" x14ac:dyDescent="0.35">
      <c r="A34" s="223" t="s">
        <v>67</v>
      </c>
      <c r="B34" s="19">
        <f>Page_17!H33</f>
        <v>119915</v>
      </c>
      <c r="C34" s="19">
        <f>Page_18!D37</f>
        <v>886397</v>
      </c>
      <c r="D34" s="19">
        <f t="shared" si="0"/>
        <v>1006312</v>
      </c>
      <c r="E34" s="19">
        <v>234574</v>
      </c>
      <c r="F34" s="51">
        <v>5637.0776043147252</v>
      </c>
      <c r="G34" s="19">
        <v>2562402</v>
      </c>
      <c r="H34" s="19">
        <f>Page_20!E33</f>
        <v>613993.29364000005</v>
      </c>
      <c r="I34" s="234">
        <v>3176395.2936399998</v>
      </c>
      <c r="J34" s="19"/>
      <c r="K34" s="19"/>
      <c r="L34" s="19"/>
      <c r="M34" s="19"/>
      <c r="N34" s="19"/>
      <c r="O34" s="19"/>
      <c r="P34" s="51"/>
      <c r="Q34" s="115"/>
      <c r="R34" s="29"/>
      <c r="S34" s="29"/>
      <c r="T34" s="29"/>
      <c r="U34" s="29"/>
      <c r="V34" s="29"/>
      <c r="W34" s="29"/>
      <c r="X34" s="29"/>
      <c r="Y34" s="29"/>
    </row>
    <row r="35" spans="1:25" s="54" customFormat="1" ht="14.15" customHeight="1" x14ac:dyDescent="0.35">
      <c r="A35" s="223" t="s">
        <v>68</v>
      </c>
      <c r="B35" s="19">
        <f>Page_17!H34</f>
        <v>65229</v>
      </c>
      <c r="C35" s="19">
        <f>Page_18!D38</f>
        <v>386629</v>
      </c>
      <c r="D35" s="19">
        <f t="shared" si="0"/>
        <v>451858</v>
      </c>
      <c r="E35" s="19">
        <v>106257</v>
      </c>
      <c r="F35" s="51">
        <v>5673.0635169103762</v>
      </c>
      <c r="G35" s="19">
        <v>1925741</v>
      </c>
      <c r="H35" s="19">
        <f>Page_20!E34</f>
        <v>582190.18149600003</v>
      </c>
      <c r="I35" s="235">
        <v>2507931.1814959999</v>
      </c>
      <c r="J35" s="19"/>
      <c r="K35" s="19"/>
      <c r="L35" s="19"/>
      <c r="M35" s="19"/>
      <c r="N35" s="19"/>
      <c r="O35" s="19"/>
      <c r="P35" s="51"/>
      <c r="Q35" s="115"/>
      <c r="R35" s="29"/>
      <c r="S35" s="29"/>
      <c r="T35" s="29"/>
      <c r="U35" s="29"/>
      <c r="V35" s="29"/>
      <c r="W35" s="29"/>
      <c r="X35" s="29"/>
      <c r="Y35" s="29"/>
    </row>
    <row r="36" spans="1:25" s="54" customFormat="1" ht="14.15" customHeight="1" x14ac:dyDescent="0.35">
      <c r="A36" s="223" t="s">
        <v>69</v>
      </c>
      <c r="B36" s="19">
        <f>Page_17!H35</f>
        <v>50767</v>
      </c>
      <c r="C36" s="19">
        <f>Page_18!D39</f>
        <v>230816</v>
      </c>
      <c r="D36" s="19">
        <f t="shared" si="0"/>
        <v>281583</v>
      </c>
      <c r="E36" s="19">
        <v>81413</v>
      </c>
      <c r="F36" s="51">
        <v>5835.4644161432761</v>
      </c>
      <c r="G36" s="19">
        <v>1863544.9999999998</v>
      </c>
      <c r="H36" s="19">
        <f>Page_20!E35</f>
        <v>565567.38872499997</v>
      </c>
      <c r="I36" s="234">
        <v>2429112.3887249995</v>
      </c>
      <c r="J36" s="19"/>
      <c r="K36" s="19"/>
      <c r="L36" s="19"/>
      <c r="M36" s="19"/>
      <c r="N36" s="19"/>
      <c r="O36" s="19"/>
      <c r="P36" s="51"/>
      <c r="Q36" s="115"/>
      <c r="R36" s="29"/>
      <c r="S36" s="29"/>
      <c r="T36" s="29"/>
      <c r="U36" s="29"/>
      <c r="V36" s="29"/>
      <c r="W36" s="29"/>
      <c r="X36" s="29"/>
      <c r="Y36" s="29"/>
    </row>
    <row r="37" spans="1:25" s="54" customFormat="1" ht="14.15" customHeight="1" x14ac:dyDescent="0.35">
      <c r="A37" s="223" t="s">
        <v>70</v>
      </c>
      <c r="B37" s="19">
        <f>Page_17!H36</f>
        <v>27730</v>
      </c>
      <c r="C37" s="19">
        <f>Page_18!D40</f>
        <v>405178</v>
      </c>
      <c r="D37" s="19">
        <f t="shared" si="0"/>
        <v>432908</v>
      </c>
      <c r="E37" s="19">
        <v>196390</v>
      </c>
      <c r="F37" s="51">
        <v>7849.453309595202</v>
      </c>
      <c r="G37" s="19">
        <v>2687726</v>
      </c>
      <c r="H37" s="19">
        <f>Page_20!E36</f>
        <v>594331.56831</v>
      </c>
      <c r="I37" s="235">
        <v>3282057.56831</v>
      </c>
      <c r="J37" s="19"/>
      <c r="K37" s="19"/>
      <c r="L37" s="19"/>
      <c r="M37" s="19"/>
      <c r="N37" s="19"/>
      <c r="O37" s="19"/>
      <c r="P37" s="51"/>
      <c r="Q37" s="115"/>
      <c r="R37" s="29"/>
      <c r="S37" s="29"/>
      <c r="T37" s="29"/>
      <c r="U37" s="29"/>
      <c r="V37" s="29"/>
      <c r="W37" s="29"/>
      <c r="X37" s="29"/>
      <c r="Y37" s="29"/>
    </row>
    <row r="38" spans="1:25" s="54" customFormat="1" ht="14.15" customHeight="1" x14ac:dyDescent="0.35">
      <c r="A38" s="223" t="s">
        <v>71</v>
      </c>
      <c r="B38" s="19">
        <f>Page_17!H37</f>
        <v>119450</v>
      </c>
      <c r="C38" s="19">
        <f>Page_18!D41</f>
        <v>807709</v>
      </c>
      <c r="D38" s="19">
        <f t="shared" si="0"/>
        <v>927159</v>
      </c>
      <c r="E38" s="19">
        <v>164414</v>
      </c>
      <c r="F38" s="51">
        <v>13845.925760869564</v>
      </c>
      <c r="G38" s="19">
        <v>2716301</v>
      </c>
      <c r="H38" s="19">
        <f>Page_20!E37</f>
        <v>619008.69254999992</v>
      </c>
      <c r="I38" s="234">
        <v>3335309.6925499998</v>
      </c>
      <c r="J38" s="19"/>
      <c r="K38" s="19"/>
      <c r="L38" s="19"/>
      <c r="M38" s="19"/>
      <c r="N38" s="19"/>
      <c r="O38" s="19"/>
      <c r="P38" s="51"/>
      <c r="Q38" s="115"/>
      <c r="R38" s="29"/>
      <c r="S38" s="29"/>
      <c r="T38" s="29"/>
      <c r="U38" s="29"/>
      <c r="V38" s="29"/>
      <c r="W38" s="29"/>
      <c r="X38" s="29"/>
      <c r="Y38" s="29"/>
    </row>
    <row r="39" spans="1:25" s="54" customFormat="1" ht="14.15" customHeight="1" x14ac:dyDescent="0.35">
      <c r="A39" s="223" t="s">
        <v>72</v>
      </c>
      <c r="B39" s="19">
        <f>Page_17!H38</f>
        <v>100991</v>
      </c>
      <c r="C39" s="19">
        <f>Page_18!D42</f>
        <v>590861</v>
      </c>
      <c r="D39" s="19">
        <f t="shared" si="0"/>
        <v>691852</v>
      </c>
      <c r="E39" s="19">
        <v>204667</v>
      </c>
      <c r="F39" s="51">
        <v>3358.9252098950524</v>
      </c>
      <c r="G39" s="19">
        <v>2259365</v>
      </c>
      <c r="H39" s="19">
        <f>Page_20!E38</f>
        <v>630496.39209400001</v>
      </c>
      <c r="I39" s="235">
        <v>2889861.3920940002</v>
      </c>
      <c r="J39" s="19"/>
      <c r="K39" s="19"/>
      <c r="L39" s="19"/>
      <c r="M39" s="19"/>
      <c r="N39" s="19"/>
      <c r="O39" s="19"/>
      <c r="P39" s="51"/>
      <c r="Q39" s="115"/>
      <c r="R39" s="29"/>
      <c r="S39" s="29"/>
      <c r="T39" s="29"/>
      <c r="U39" s="29"/>
      <c r="V39" s="29"/>
      <c r="W39" s="29"/>
      <c r="X39" s="29"/>
      <c r="Y39" s="29"/>
    </row>
    <row r="40" spans="1:25" s="54" customFormat="1" ht="14.15" customHeight="1" x14ac:dyDescent="0.35">
      <c r="A40" s="223" t="s">
        <v>73</v>
      </c>
      <c r="B40" s="19">
        <f>Page_17!H39</f>
        <v>47297</v>
      </c>
      <c r="C40" s="19">
        <f>Page_18!D43</f>
        <v>247364</v>
      </c>
      <c r="D40" s="19">
        <f t="shared" ref="D40:D57" si="1">SUM(B40:C40)</f>
        <v>294661</v>
      </c>
      <c r="E40" s="19">
        <v>187100</v>
      </c>
      <c r="F40" s="51">
        <v>1982.8294977511243</v>
      </c>
      <c r="G40" s="19">
        <v>1524532.56</v>
      </c>
      <c r="H40" s="19">
        <f>Page_20!E39</f>
        <v>606166.37138199992</v>
      </c>
      <c r="I40" s="234">
        <v>2130698.931382</v>
      </c>
      <c r="J40" s="19"/>
      <c r="K40" s="19"/>
      <c r="L40" s="19"/>
      <c r="M40" s="19"/>
      <c r="N40" s="19"/>
      <c r="O40" s="19"/>
      <c r="P40" s="51"/>
      <c r="Q40" s="115"/>
      <c r="R40" s="29"/>
      <c r="S40" s="29"/>
      <c r="T40" s="29"/>
      <c r="U40" s="29"/>
      <c r="V40" s="29"/>
      <c r="W40" s="29"/>
      <c r="X40" s="29"/>
      <c r="Y40" s="29"/>
    </row>
    <row r="41" spans="1:25" s="54" customFormat="1" ht="14.15" customHeight="1" x14ac:dyDescent="0.35">
      <c r="A41" s="223" t="s">
        <v>74</v>
      </c>
      <c r="B41" s="19">
        <f>Page_17!H40</f>
        <v>13173</v>
      </c>
      <c r="C41" s="19">
        <f>Page_18!D44</f>
        <v>103738</v>
      </c>
      <c r="D41" s="19">
        <f t="shared" si="1"/>
        <v>116911</v>
      </c>
      <c r="E41" s="19">
        <v>68999</v>
      </c>
      <c r="F41" s="52"/>
      <c r="G41" s="19">
        <v>556878</v>
      </c>
      <c r="H41" s="19">
        <f>Page_20!E40</f>
        <v>405944.97972</v>
      </c>
      <c r="I41" s="235">
        <v>962822.97971999994</v>
      </c>
      <c r="J41" s="19"/>
      <c r="K41" s="19"/>
      <c r="L41" s="19"/>
      <c r="M41" s="19"/>
      <c r="N41" s="19"/>
      <c r="O41" s="19"/>
      <c r="P41" s="51"/>
      <c r="Q41" s="115"/>
      <c r="R41" s="29"/>
      <c r="S41" s="29"/>
      <c r="T41" s="29"/>
      <c r="U41" s="29"/>
      <c r="V41" s="29"/>
      <c r="W41" s="29"/>
      <c r="X41" s="29"/>
      <c r="Y41" s="29"/>
    </row>
    <row r="42" spans="1:25" s="54" customFormat="1" ht="14.15" customHeight="1" x14ac:dyDescent="0.35">
      <c r="A42" s="223" t="s">
        <v>75</v>
      </c>
      <c r="B42" s="19">
        <f>Page_17!H41</f>
        <v>16514</v>
      </c>
      <c r="C42" s="19">
        <f>Page_18!D45</f>
        <v>70006</v>
      </c>
      <c r="D42" s="19">
        <f t="shared" si="1"/>
        <v>86520</v>
      </c>
      <c r="E42" s="19">
        <v>19873</v>
      </c>
      <c r="F42" s="52"/>
      <c r="G42" s="19">
        <v>346796</v>
      </c>
      <c r="H42" s="19">
        <f>Page_20!E41</f>
        <v>367186.101173</v>
      </c>
      <c r="I42" s="234">
        <v>713982.10117299994</v>
      </c>
      <c r="J42" s="19"/>
      <c r="K42" s="19"/>
      <c r="L42" s="19"/>
      <c r="M42" s="19"/>
      <c r="N42" s="19"/>
      <c r="O42" s="19"/>
      <c r="P42" s="51"/>
      <c r="Q42" s="115"/>
      <c r="R42" s="29"/>
      <c r="S42" s="29"/>
      <c r="T42" s="29"/>
      <c r="U42" s="29"/>
      <c r="V42" s="29"/>
      <c r="W42" s="29"/>
      <c r="X42" s="29"/>
      <c r="Y42" s="29"/>
    </row>
    <row r="43" spans="1:25" s="54" customFormat="1" ht="14.15" customHeight="1" x14ac:dyDescent="0.35">
      <c r="A43" s="223" t="s">
        <v>76</v>
      </c>
      <c r="B43" s="19">
        <f>Page_17!H42</f>
        <v>18397</v>
      </c>
      <c r="C43" s="19">
        <f>Page_18!D46</f>
        <v>78459</v>
      </c>
      <c r="D43" s="19">
        <f t="shared" si="1"/>
        <v>96856</v>
      </c>
      <c r="E43" s="19">
        <v>156366</v>
      </c>
      <c r="F43" s="52"/>
      <c r="G43" s="19">
        <v>1087556</v>
      </c>
      <c r="H43" s="19">
        <f>Page_20!E42</f>
        <v>512517.02349599998</v>
      </c>
      <c r="I43" s="235">
        <v>1600073.0234960001</v>
      </c>
      <c r="J43" s="19"/>
      <c r="K43" s="19"/>
      <c r="L43" s="19"/>
      <c r="M43" s="19"/>
      <c r="N43" s="19"/>
      <c r="O43" s="19"/>
      <c r="P43" s="51"/>
      <c r="Q43" s="115"/>
      <c r="R43" s="29"/>
      <c r="S43" s="29"/>
      <c r="T43" s="29"/>
      <c r="U43" s="29"/>
      <c r="V43" s="29"/>
      <c r="W43" s="29"/>
      <c r="X43" s="29"/>
      <c r="Y43" s="29"/>
    </row>
    <row r="44" spans="1:25" s="54" customFormat="1" ht="14.15" customHeight="1" x14ac:dyDescent="0.35">
      <c r="A44" s="223" t="s">
        <v>77</v>
      </c>
      <c r="B44" s="19">
        <f>Page_17!H43</f>
        <v>68302</v>
      </c>
      <c r="C44" s="19">
        <f>Page_18!D47</f>
        <v>684491</v>
      </c>
      <c r="D44" s="19">
        <f t="shared" si="1"/>
        <v>752793</v>
      </c>
      <c r="E44" s="19">
        <v>135497</v>
      </c>
      <c r="F44" s="52"/>
      <c r="G44" s="19">
        <v>2295294</v>
      </c>
      <c r="H44" s="19">
        <f>Page_20!E43</f>
        <v>605729.70352800004</v>
      </c>
      <c r="I44" s="234">
        <v>2901023.703528</v>
      </c>
      <c r="J44" s="19"/>
      <c r="K44" s="19"/>
      <c r="L44" s="19"/>
      <c r="M44" s="19"/>
      <c r="N44" s="19"/>
      <c r="O44" s="19"/>
      <c r="P44" s="51"/>
      <c r="Q44" s="115"/>
      <c r="R44" s="29"/>
      <c r="S44" s="29"/>
      <c r="T44" s="29"/>
      <c r="U44" s="29"/>
      <c r="V44" s="29"/>
      <c r="W44" s="29"/>
      <c r="X44" s="29"/>
      <c r="Y44" s="29"/>
    </row>
    <row r="45" spans="1:25" s="54" customFormat="1" ht="14.15" customHeight="1" x14ac:dyDescent="0.35">
      <c r="A45" s="223" t="s">
        <v>78</v>
      </c>
      <c r="B45" s="19">
        <f>Page_17!H44</f>
        <v>85114</v>
      </c>
      <c r="C45" s="19">
        <f>Page_18!D48</f>
        <v>720123</v>
      </c>
      <c r="D45" s="19">
        <f t="shared" si="1"/>
        <v>805237</v>
      </c>
      <c r="E45" s="19">
        <v>171714</v>
      </c>
      <c r="F45" s="52"/>
      <c r="G45" s="19">
        <v>2543787</v>
      </c>
      <c r="H45" s="19">
        <f>Page_20!E44</f>
        <v>599367.31669999997</v>
      </c>
      <c r="I45" s="235">
        <v>3143154.3166999999</v>
      </c>
      <c r="J45" s="19"/>
      <c r="K45" s="19"/>
      <c r="L45" s="19"/>
      <c r="M45" s="19"/>
      <c r="N45" s="19"/>
      <c r="O45" s="19"/>
      <c r="P45" s="51"/>
      <c r="Q45" s="115"/>
      <c r="R45" s="29"/>
      <c r="S45" s="29"/>
      <c r="T45" s="29"/>
      <c r="U45" s="29"/>
      <c r="V45" s="29"/>
      <c r="W45" s="29"/>
      <c r="X45" s="29"/>
      <c r="Y45" s="29"/>
    </row>
    <row r="46" spans="1:25" s="54" customFormat="1" ht="14.15" customHeight="1" x14ac:dyDescent="0.35">
      <c r="A46" s="223" t="s">
        <v>79</v>
      </c>
      <c r="B46" s="19">
        <f>Page_17!H45</f>
        <v>80322</v>
      </c>
      <c r="C46" s="19">
        <f>Page_18!D49</f>
        <v>718338</v>
      </c>
      <c r="D46" s="19">
        <f t="shared" si="1"/>
        <v>798660</v>
      </c>
      <c r="E46" s="19">
        <v>98482</v>
      </c>
      <c r="F46" s="52"/>
      <c r="G46" s="19">
        <v>2861259.16</v>
      </c>
      <c r="H46" s="19">
        <f>Page_20!E45</f>
        <v>569421.012797</v>
      </c>
      <c r="I46" s="234">
        <v>3430680.172797</v>
      </c>
      <c r="J46" s="19"/>
      <c r="K46" s="19"/>
      <c r="L46" s="19"/>
      <c r="M46" s="19"/>
      <c r="N46" s="19"/>
      <c r="O46" s="19"/>
      <c r="P46" s="51"/>
      <c r="Q46" s="115"/>
      <c r="R46" s="29"/>
      <c r="S46" s="29"/>
      <c r="T46" s="29"/>
      <c r="U46" s="29"/>
      <c r="V46" s="29"/>
      <c r="W46" s="29"/>
      <c r="X46" s="29"/>
      <c r="Y46" s="29"/>
    </row>
    <row r="47" spans="1:25" s="54" customFormat="1" ht="14.15" customHeight="1" x14ac:dyDescent="0.35">
      <c r="A47" s="223" t="s">
        <v>80</v>
      </c>
      <c r="B47" s="19">
        <f>Page_17!H46</f>
        <v>67257</v>
      </c>
      <c r="C47" s="19">
        <f>Page_18!D50</f>
        <v>400508</v>
      </c>
      <c r="D47" s="19">
        <f t="shared" si="1"/>
        <v>467765</v>
      </c>
      <c r="E47" s="19">
        <v>130449</v>
      </c>
      <c r="F47" s="52"/>
      <c r="G47" s="19">
        <v>1770758</v>
      </c>
      <c r="H47" s="19">
        <f>Page_20!E46</f>
        <v>541581.37750800001</v>
      </c>
      <c r="I47" s="235">
        <v>2312339.377508</v>
      </c>
      <c r="J47" s="19"/>
      <c r="K47" s="19"/>
      <c r="L47" s="19"/>
      <c r="M47" s="19"/>
      <c r="N47" s="19"/>
      <c r="O47" s="19"/>
      <c r="P47" s="51"/>
      <c r="Q47" s="115"/>
      <c r="R47" s="29"/>
      <c r="S47" s="29"/>
      <c r="T47" s="29"/>
      <c r="U47" s="29"/>
      <c r="V47" s="29"/>
      <c r="W47" s="29"/>
      <c r="X47" s="29"/>
      <c r="Y47" s="29"/>
    </row>
    <row r="48" spans="1:25" s="54" customFormat="1" ht="14.15" customHeight="1" x14ac:dyDescent="0.35">
      <c r="A48" s="223" t="s">
        <v>81</v>
      </c>
      <c r="B48" s="19">
        <f>Page_17!H47</f>
        <v>21093</v>
      </c>
      <c r="C48" s="19">
        <f>Page_18!D51</f>
        <v>132595</v>
      </c>
      <c r="D48" s="19">
        <f t="shared" si="1"/>
        <v>153688</v>
      </c>
      <c r="E48" s="19">
        <v>58609</v>
      </c>
      <c r="F48" s="52"/>
      <c r="G48" s="19">
        <v>746887</v>
      </c>
      <c r="H48" s="19">
        <f>Page_20!E47</f>
        <v>440727.57104999997</v>
      </c>
      <c r="I48" s="234">
        <v>1187614.5710499999</v>
      </c>
      <c r="J48" s="19"/>
      <c r="K48" s="19"/>
      <c r="L48" s="19"/>
      <c r="M48" s="19"/>
      <c r="N48" s="19"/>
      <c r="O48" s="19"/>
      <c r="P48" s="51"/>
      <c r="Q48" s="115"/>
      <c r="R48" s="29"/>
      <c r="S48" s="29"/>
      <c r="T48" s="29"/>
      <c r="U48" s="29"/>
      <c r="V48" s="29"/>
      <c r="W48" s="29"/>
      <c r="X48" s="29"/>
      <c r="Y48" s="29"/>
    </row>
    <row r="49" spans="1:25" s="54" customFormat="1" ht="14.15" customHeight="1" x14ac:dyDescent="0.35">
      <c r="A49" s="223" t="s">
        <v>82</v>
      </c>
      <c r="B49" s="19">
        <f>Page_17!H48</f>
        <v>50999.857142857145</v>
      </c>
      <c r="C49" s="19">
        <f>Page_18!D52</f>
        <v>400645.71428571426</v>
      </c>
      <c r="D49" s="19">
        <f t="shared" si="1"/>
        <v>451645.57142857142</v>
      </c>
      <c r="E49" s="19">
        <v>110141.42857142857</v>
      </c>
      <c r="F49" s="52"/>
      <c r="G49" s="19">
        <v>1668851.1685714289</v>
      </c>
      <c r="H49" s="19">
        <f>Page_20!E48</f>
        <v>519504.30089314282</v>
      </c>
      <c r="I49" s="235">
        <v>2188355.4694645717</v>
      </c>
      <c r="J49" s="19"/>
      <c r="K49" s="19"/>
      <c r="L49" s="19"/>
      <c r="M49" s="19"/>
      <c r="N49" s="19"/>
      <c r="O49" s="19"/>
      <c r="P49" s="51"/>
      <c r="Q49" s="115"/>
      <c r="R49" s="29"/>
      <c r="S49" s="29"/>
      <c r="T49" s="29"/>
      <c r="U49" s="29"/>
      <c r="V49" s="29"/>
      <c r="W49" s="29"/>
      <c r="X49" s="29"/>
      <c r="Y49" s="29"/>
    </row>
    <row r="50" spans="1:25" s="54" customFormat="1" ht="14.15" customHeight="1" x14ac:dyDescent="0.35">
      <c r="A50" s="223" t="s">
        <v>83</v>
      </c>
      <c r="B50" s="19">
        <f>Page_17!H49</f>
        <v>50999.857142857145</v>
      </c>
      <c r="C50" s="19">
        <f>Page_18!D53</f>
        <v>400645.71428571426</v>
      </c>
      <c r="D50" s="19">
        <f t="shared" si="1"/>
        <v>451645.57142857142</v>
      </c>
      <c r="E50" s="19">
        <v>110141.42857142857</v>
      </c>
      <c r="F50" s="52"/>
      <c r="G50" s="19">
        <v>1668851.1685714289</v>
      </c>
      <c r="H50" s="19">
        <f>Page_20!E49</f>
        <v>519504.30089314282</v>
      </c>
      <c r="I50" s="234">
        <v>2188355.4694645717</v>
      </c>
      <c r="J50" s="19"/>
      <c r="K50" s="19"/>
      <c r="L50" s="19"/>
      <c r="M50" s="19"/>
      <c r="N50" s="19"/>
      <c r="O50" s="19"/>
      <c r="P50" s="51"/>
      <c r="Q50" s="115"/>
      <c r="R50" s="29"/>
      <c r="S50" s="29"/>
      <c r="T50" s="29"/>
      <c r="U50" s="29"/>
      <c r="V50" s="29"/>
      <c r="W50" s="29"/>
      <c r="X50" s="29"/>
      <c r="Y50" s="29"/>
    </row>
    <row r="51" spans="1:25" s="54" customFormat="1" ht="14.15" customHeight="1" x14ac:dyDescent="0.35">
      <c r="A51" s="223" t="s">
        <v>84</v>
      </c>
      <c r="B51" s="19">
        <f>Page_17!H50</f>
        <v>50999.857142857145</v>
      </c>
      <c r="C51" s="19">
        <f>Page_18!D54</f>
        <v>400645.71428571426</v>
      </c>
      <c r="D51" s="19">
        <f t="shared" si="1"/>
        <v>451645.57142857142</v>
      </c>
      <c r="E51" s="19">
        <v>110141.42857142857</v>
      </c>
      <c r="F51" s="52"/>
      <c r="G51" s="19">
        <v>1668851.1685714289</v>
      </c>
      <c r="H51" s="19">
        <f>Page_20!E50</f>
        <v>519504.30089314282</v>
      </c>
      <c r="I51" s="235">
        <v>2188355.4694645717</v>
      </c>
      <c r="J51" s="19"/>
      <c r="K51" s="19"/>
      <c r="L51" s="19"/>
      <c r="M51" s="19"/>
      <c r="N51" s="19"/>
      <c r="O51" s="19"/>
      <c r="P51" s="51"/>
      <c r="Q51" s="115"/>
      <c r="R51" s="29"/>
      <c r="S51" s="29"/>
      <c r="T51" s="29"/>
      <c r="U51" s="29"/>
      <c r="V51" s="29"/>
      <c r="W51" s="29"/>
      <c r="X51" s="29"/>
      <c r="Y51" s="29"/>
    </row>
    <row r="52" spans="1:25" s="54" customFormat="1" ht="14.15" customHeight="1" x14ac:dyDescent="0.35">
      <c r="A52" s="223" t="s">
        <v>85</v>
      </c>
      <c r="B52" s="19">
        <f>Page_17!H51</f>
        <v>50999.857142857145</v>
      </c>
      <c r="C52" s="19">
        <f>Page_18!D55</f>
        <v>400645.71428571426</v>
      </c>
      <c r="D52" s="19">
        <f t="shared" si="1"/>
        <v>451645.57142857142</v>
      </c>
      <c r="E52" s="19">
        <v>110441.42857142857</v>
      </c>
      <c r="F52" s="52"/>
      <c r="G52" s="19">
        <v>1679478.7400000002</v>
      </c>
      <c r="H52" s="19">
        <f>Page_20!E51</f>
        <v>519504.30089314282</v>
      </c>
      <c r="I52" s="234">
        <v>2198983.040893143</v>
      </c>
      <c r="J52" s="19"/>
      <c r="K52" s="19"/>
      <c r="L52" s="19"/>
      <c r="M52" s="19"/>
      <c r="N52" s="19"/>
      <c r="O52" s="19"/>
      <c r="P52" s="51"/>
      <c r="Q52" s="115"/>
      <c r="R52" s="29"/>
      <c r="S52" s="29"/>
      <c r="T52" s="29"/>
      <c r="U52" s="29"/>
      <c r="V52" s="29"/>
      <c r="W52" s="29"/>
      <c r="X52" s="29"/>
      <c r="Y52" s="29"/>
    </row>
    <row r="53" spans="1:25" s="54" customFormat="1" ht="14.15" customHeight="1" x14ac:dyDescent="0.35">
      <c r="A53" s="223" t="s">
        <v>86</v>
      </c>
      <c r="B53" s="19">
        <f>Page_17!H52</f>
        <v>50999.857142857145</v>
      </c>
      <c r="C53" s="19">
        <f>Page_18!D56</f>
        <v>400645.71428571426</v>
      </c>
      <c r="D53" s="19">
        <f t="shared" si="1"/>
        <v>451645.57142857142</v>
      </c>
      <c r="E53" s="19">
        <v>110441.42857142857</v>
      </c>
      <c r="F53" s="52"/>
      <c r="G53" s="19">
        <v>1679478.7400000002</v>
      </c>
      <c r="H53" s="19">
        <f>Page_20!E52</f>
        <v>519504.30089314282</v>
      </c>
      <c r="I53" s="235">
        <v>2198983.040893143</v>
      </c>
      <c r="J53" s="19"/>
      <c r="K53" s="19"/>
      <c r="L53" s="19"/>
      <c r="M53" s="19"/>
      <c r="N53" s="19"/>
      <c r="O53" s="19"/>
      <c r="P53" s="51"/>
      <c r="Q53" s="115"/>
      <c r="R53" s="29"/>
      <c r="S53" s="29"/>
      <c r="T53" s="29"/>
      <c r="U53" s="29"/>
      <c r="V53" s="29"/>
      <c r="W53" s="29"/>
      <c r="X53" s="29"/>
      <c r="Y53" s="29"/>
    </row>
    <row r="54" spans="1:25" s="54" customFormat="1" ht="14.15" customHeight="1" x14ac:dyDescent="0.35">
      <c r="A54" s="223" t="s">
        <v>87</v>
      </c>
      <c r="B54" s="19">
        <f>Page_17!H53</f>
        <v>50999.857142857145</v>
      </c>
      <c r="C54" s="19">
        <f>Page_18!D57</f>
        <v>400645.71428571426</v>
      </c>
      <c r="D54" s="19">
        <f t="shared" si="1"/>
        <v>451645.57142857142</v>
      </c>
      <c r="E54" s="19">
        <v>110441.42857142857</v>
      </c>
      <c r="F54" s="52"/>
      <c r="G54" s="19">
        <v>1679478.7400000002</v>
      </c>
      <c r="H54" s="19">
        <f>Page_20!E53</f>
        <v>519504.30089314282</v>
      </c>
      <c r="I54" s="234">
        <v>2198983.040893143</v>
      </c>
      <c r="J54" s="19"/>
      <c r="K54" s="19"/>
      <c r="L54" s="19"/>
      <c r="M54" s="19"/>
      <c r="N54" s="19"/>
      <c r="O54" s="19"/>
      <c r="P54" s="51"/>
      <c r="Q54" s="115"/>
      <c r="R54" s="29"/>
      <c r="S54" s="29"/>
      <c r="T54" s="29"/>
      <c r="U54" s="29"/>
      <c r="V54" s="29"/>
      <c r="W54" s="29"/>
      <c r="X54" s="29"/>
      <c r="Y54" s="29"/>
    </row>
    <row r="55" spans="1:25" s="54" customFormat="1" ht="14.15" customHeight="1" x14ac:dyDescent="0.35">
      <c r="A55" s="223" t="s">
        <v>88</v>
      </c>
      <c r="B55" s="19">
        <f>Page_17!H54</f>
        <v>50999.857142857145</v>
      </c>
      <c r="C55" s="19">
        <f>Page_18!D58</f>
        <v>400645.71428571426</v>
      </c>
      <c r="D55" s="19">
        <f t="shared" si="1"/>
        <v>451645.57142857142</v>
      </c>
      <c r="E55" s="19">
        <v>110441.42857142857</v>
      </c>
      <c r="F55" s="52"/>
      <c r="G55" s="19">
        <v>1679478.7400000002</v>
      </c>
      <c r="H55" s="19">
        <f>Page_20!E54</f>
        <v>519504.30089314282</v>
      </c>
      <c r="I55" s="235">
        <v>2198983.040893143</v>
      </c>
      <c r="J55" s="19"/>
      <c r="K55" s="19"/>
      <c r="L55" s="19"/>
      <c r="M55" s="19"/>
      <c r="N55" s="19"/>
      <c r="O55" s="19"/>
      <c r="P55" s="51"/>
      <c r="Q55" s="115"/>
      <c r="R55" s="29"/>
      <c r="S55" s="29"/>
      <c r="T55" s="29"/>
      <c r="U55" s="29"/>
      <c r="V55" s="29"/>
      <c r="W55" s="29"/>
      <c r="X55" s="29"/>
      <c r="Y55" s="29"/>
    </row>
    <row r="56" spans="1:25" s="54" customFormat="1" ht="14.15" customHeight="1" x14ac:dyDescent="0.35">
      <c r="A56" s="223" t="s">
        <v>89</v>
      </c>
      <c r="B56" s="19">
        <f>Page_17!H55</f>
        <v>50999.857142857145</v>
      </c>
      <c r="C56" s="19">
        <f>Page_18!D59</f>
        <v>400645.71428571426</v>
      </c>
      <c r="D56" s="19">
        <f t="shared" si="1"/>
        <v>451645.57142857142</v>
      </c>
      <c r="E56" s="19">
        <v>110441.42857142857</v>
      </c>
      <c r="F56" s="52"/>
      <c r="G56" s="19">
        <v>1679478.7400000002</v>
      </c>
      <c r="H56" s="19">
        <f>Page_20!E55</f>
        <v>519504.30089314282</v>
      </c>
      <c r="I56" s="234">
        <v>2198983.040893143</v>
      </c>
      <c r="J56" s="19"/>
      <c r="K56" s="19"/>
      <c r="L56" s="19"/>
      <c r="M56" s="19"/>
      <c r="N56" s="19"/>
      <c r="O56" s="19"/>
      <c r="P56" s="51"/>
      <c r="Q56" s="115"/>
      <c r="R56" s="29"/>
      <c r="S56" s="29"/>
      <c r="T56" s="29"/>
      <c r="U56" s="29"/>
      <c r="V56" s="29"/>
      <c r="W56" s="29"/>
      <c r="X56" s="29"/>
      <c r="Y56" s="29"/>
    </row>
    <row r="57" spans="1:25" s="54" customFormat="1" ht="14.15" customHeight="1" thickBot="1" x14ac:dyDescent="0.4">
      <c r="A57" s="223" t="s">
        <v>90</v>
      </c>
      <c r="B57" s="19">
        <f>Page_17!H56</f>
        <v>50999.857142857145</v>
      </c>
      <c r="C57" s="19">
        <f>Page_18!D60</f>
        <v>400645.71428571426</v>
      </c>
      <c r="D57" s="19">
        <f t="shared" si="1"/>
        <v>451645.57142857142</v>
      </c>
      <c r="E57" s="19">
        <v>110441.42857142857</v>
      </c>
      <c r="F57" s="52"/>
      <c r="G57" s="19">
        <v>1679478.7400000002</v>
      </c>
      <c r="H57" s="19">
        <f>Page_20!E56</f>
        <v>519504.30089314282</v>
      </c>
      <c r="I57" s="235">
        <v>2198983.040893143</v>
      </c>
      <c r="J57" s="19"/>
      <c r="K57" s="19"/>
      <c r="L57" s="19"/>
      <c r="M57" s="19"/>
      <c r="N57" s="19"/>
      <c r="O57" s="19"/>
      <c r="P57" s="51"/>
      <c r="Q57" s="115"/>
      <c r="R57" s="29"/>
      <c r="S57" s="29"/>
      <c r="T57" s="29"/>
      <c r="U57" s="29"/>
      <c r="V57" s="29"/>
      <c r="W57" s="29"/>
      <c r="X57" s="29"/>
      <c r="Y57" s="29"/>
    </row>
    <row r="58" spans="1:25" s="54" customFormat="1" ht="15.5" x14ac:dyDescent="0.35">
      <c r="A58" s="223" t="s">
        <v>91</v>
      </c>
      <c r="B58" s="27">
        <f>SUM(B8:B57)</f>
        <v>4852998.7142857155</v>
      </c>
      <c r="C58" s="27">
        <f>SUM(C8:C57)</f>
        <v>34297571.428571418</v>
      </c>
      <c r="D58" s="27">
        <f>SUM(D8:D57)</f>
        <v>39150570.142857172</v>
      </c>
      <c r="E58" s="27">
        <f>SUM(E8:E57)</f>
        <v>8046483.8571428536</v>
      </c>
      <c r="F58" s="27">
        <f>SUM(F8:F57)</f>
        <v>1263131.2189738231</v>
      </c>
      <c r="G58" s="27">
        <v>130351526.26571424</v>
      </c>
      <c r="H58" s="27">
        <f>SUM(H8:H57)</f>
        <v>29157082.487641286</v>
      </c>
      <c r="I58" s="236">
        <v>159508608.75335553</v>
      </c>
      <c r="J58" s="233"/>
      <c r="K58" s="233"/>
      <c r="L58" s="233"/>
      <c r="M58" s="233"/>
      <c r="N58" s="233"/>
      <c r="O58" s="233"/>
      <c r="P58" s="51"/>
      <c r="Q58" s="168"/>
      <c r="R58" s="29"/>
      <c r="S58" s="29"/>
      <c r="T58" s="29"/>
      <c r="U58" s="29"/>
      <c r="V58" s="29"/>
      <c r="W58" s="29"/>
      <c r="X58" s="29"/>
      <c r="Y58" s="29"/>
    </row>
    <row r="59" spans="1:25" s="54" customFormat="1" ht="15.5" x14ac:dyDescent="0.35">
      <c r="A59" s="223" t="str">
        <f>Page_23!A58</f>
        <v>7 - Year Hist Avg (A-12)</v>
      </c>
      <c r="B59" s="19">
        <f>Page_17!H58</f>
        <v>50999.857142857145</v>
      </c>
      <c r="C59" s="19">
        <f>Page_18!D62</f>
        <v>400645.71428571426</v>
      </c>
      <c r="D59" s="19">
        <f>SUM(B59:C59)</f>
        <v>451645.57142857142</v>
      </c>
      <c r="E59" s="19">
        <v>110441.42857142857</v>
      </c>
      <c r="F59" s="19"/>
      <c r="G59" s="19">
        <v>1679478.7400000002</v>
      </c>
      <c r="H59" s="19">
        <f>Page_20!E58</f>
        <v>519504.30089314282</v>
      </c>
      <c r="I59" s="235">
        <v>2198983.040893143</v>
      </c>
      <c r="J59" s="19"/>
      <c r="K59" s="19"/>
      <c r="L59" s="19"/>
      <c r="M59" s="19"/>
      <c r="N59" s="19"/>
      <c r="O59" s="19"/>
      <c r="P59" s="51"/>
      <c r="Q59" s="168"/>
      <c r="R59" s="29"/>
      <c r="S59" s="29"/>
      <c r="T59" s="29"/>
      <c r="U59" s="29"/>
      <c r="V59" s="29"/>
      <c r="W59" s="29"/>
      <c r="X59" s="29"/>
      <c r="Y59" s="29"/>
    </row>
    <row r="60" spans="1:25" s="54" customFormat="1" ht="15.5" x14ac:dyDescent="0.35">
      <c r="A60" s="222" t="str">
        <f>Page_23!A59</f>
        <v>Projected Del. (A-2ba)</v>
      </c>
      <c r="B60" s="19">
        <f>Page_17!H59</f>
        <v>407998.85714285716</v>
      </c>
      <c r="C60" s="19">
        <f>Page_18!D63</f>
        <v>3205165.7142857136</v>
      </c>
      <c r="D60" s="19">
        <f>SUM(B60:C60)</f>
        <v>3613164.5714285709</v>
      </c>
      <c r="E60" s="19">
        <v>882931.42857142852</v>
      </c>
      <c r="F60" s="52"/>
      <c r="G60" s="19">
        <v>13414574.777142856</v>
      </c>
      <c r="H60" s="19">
        <f>Page_20!E59</f>
        <v>4156034.4071451426</v>
      </c>
      <c r="I60" s="234">
        <v>17570609.184287999</v>
      </c>
      <c r="J60" s="19"/>
      <c r="K60" s="19"/>
      <c r="L60" s="19"/>
      <c r="M60" s="19"/>
      <c r="N60" s="19"/>
      <c r="O60" s="19"/>
      <c r="P60" s="51"/>
      <c r="Q60" s="169"/>
      <c r="R60" s="29"/>
      <c r="S60" s="29"/>
      <c r="T60" s="29"/>
      <c r="U60" s="29"/>
      <c r="V60" s="29"/>
      <c r="W60" s="29"/>
      <c r="X60" s="29"/>
      <c r="Y60" s="29"/>
    </row>
    <row r="61" spans="1:25" ht="20.149999999999999" customHeight="1" x14ac:dyDescent="0.35">
      <c r="A61" s="225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170"/>
      <c r="R61" s="30"/>
      <c r="S61" s="30"/>
      <c r="T61" s="30"/>
      <c r="U61" s="30"/>
      <c r="V61" s="30"/>
      <c r="W61" s="30"/>
      <c r="X61" s="30"/>
      <c r="Y61" s="30"/>
    </row>
    <row r="62" spans="1:25" ht="20.149999999999999" customHeight="1" x14ac:dyDescent="0.35">
      <c r="A62" s="225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170"/>
      <c r="R62" s="30"/>
      <c r="S62" s="30"/>
      <c r="T62" s="30"/>
      <c r="U62" s="30"/>
      <c r="V62" s="30"/>
      <c r="W62" s="30"/>
      <c r="X62" s="30"/>
      <c r="Y62" s="30"/>
    </row>
    <row r="63" spans="1:25" ht="20.149999999999999" customHeight="1" x14ac:dyDescent="0.35">
      <c r="A63" s="225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170" t="s">
        <v>102</v>
      </c>
      <c r="R63" s="30"/>
      <c r="S63" s="30"/>
      <c r="T63" s="30"/>
      <c r="U63" s="30"/>
      <c r="V63" s="30"/>
      <c r="W63" s="30"/>
      <c r="X63" s="30"/>
      <c r="Y63" s="30"/>
    </row>
    <row r="64" spans="1:25" ht="20.149999999999999" customHeight="1" x14ac:dyDescent="0.35">
      <c r="A64" s="225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170" t="s">
        <v>102</v>
      </c>
      <c r="R64" s="30"/>
      <c r="S64" s="30"/>
      <c r="T64" s="30"/>
      <c r="U64" s="30"/>
      <c r="V64" s="30"/>
      <c r="W64" s="30"/>
      <c r="X64" s="30"/>
      <c r="Y64" s="30"/>
    </row>
    <row r="65" spans="1:25" ht="20.149999999999999" customHeight="1" x14ac:dyDescent="0.35">
      <c r="A65" s="225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170" t="s">
        <v>102</v>
      </c>
      <c r="R65" s="30"/>
      <c r="S65" s="30"/>
      <c r="T65" s="30"/>
      <c r="U65" s="30"/>
      <c r="V65" s="30"/>
      <c r="W65" s="30"/>
      <c r="X65" s="30"/>
      <c r="Y65" s="30"/>
    </row>
    <row r="66" spans="1:25" ht="20.149999999999999" customHeight="1" x14ac:dyDescent="0.35">
      <c r="A66" s="225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170" t="s">
        <v>102</v>
      </c>
      <c r="R66" s="30"/>
      <c r="S66" s="30"/>
      <c r="T66" s="30"/>
      <c r="U66" s="30"/>
      <c r="V66" s="30"/>
      <c r="W66" s="30"/>
      <c r="X66" s="30"/>
      <c r="Y66" s="30"/>
    </row>
    <row r="67" spans="1:25" ht="20.149999999999999" customHeight="1" x14ac:dyDescent="0.35">
      <c r="A67" s="225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171"/>
      <c r="R67" s="30"/>
      <c r="S67" s="30"/>
      <c r="T67" s="30"/>
      <c r="U67" s="30"/>
      <c r="V67" s="30"/>
      <c r="W67" s="30"/>
      <c r="X67" s="30"/>
      <c r="Y67" s="30"/>
    </row>
    <row r="68" spans="1:25" ht="20.149999999999999" customHeight="1" x14ac:dyDescent="0.35">
      <c r="A68" s="225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171"/>
      <c r="R68" s="30"/>
      <c r="S68" s="30"/>
      <c r="T68" s="30"/>
      <c r="U68" s="30"/>
      <c r="V68" s="30"/>
      <c r="W68" s="30"/>
      <c r="X68" s="30"/>
      <c r="Y68" s="30"/>
    </row>
    <row r="69" spans="1:25" ht="20.149999999999999" customHeight="1" x14ac:dyDescent="0.35">
      <c r="A69" s="225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171"/>
      <c r="R69" s="30"/>
      <c r="S69" s="30"/>
      <c r="T69" s="30"/>
      <c r="U69" s="30"/>
      <c r="V69" s="30"/>
      <c r="W69" s="30"/>
      <c r="X69" s="30"/>
      <c r="Y69" s="30"/>
    </row>
    <row r="70" spans="1:25" ht="20.149999999999999" customHeight="1" x14ac:dyDescent="0.35">
      <c r="A70" s="225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171"/>
      <c r="R70" s="30"/>
      <c r="S70" s="30"/>
      <c r="T70" s="30"/>
      <c r="U70" s="30"/>
      <c r="V70" s="30"/>
      <c r="W70" s="30"/>
      <c r="X70" s="30"/>
      <c r="Y70" s="30"/>
    </row>
    <row r="71" spans="1:25" ht="20.149999999999999" customHeight="1" x14ac:dyDescent="0.35">
      <c r="A71" s="225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171"/>
      <c r="R71" s="30"/>
      <c r="S71" s="30"/>
      <c r="T71" s="30"/>
      <c r="U71" s="30"/>
      <c r="V71" s="30"/>
      <c r="W71" s="30"/>
      <c r="X71" s="30"/>
      <c r="Y71" s="30"/>
    </row>
    <row r="72" spans="1:25" ht="20.149999999999999" customHeight="1" x14ac:dyDescent="0.35">
      <c r="A72" s="225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171"/>
      <c r="R72" s="30"/>
      <c r="S72" s="30"/>
      <c r="T72" s="30"/>
      <c r="U72" s="30"/>
      <c r="V72" s="30"/>
      <c r="W72" s="30"/>
      <c r="X72" s="30"/>
      <c r="Y72" s="30"/>
    </row>
    <row r="73" spans="1:25" ht="20.149999999999999" customHeight="1" x14ac:dyDescent="0.35">
      <c r="A73" s="225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171"/>
      <c r="R73" s="30"/>
      <c r="S73" s="30"/>
      <c r="T73" s="30"/>
      <c r="U73" s="30"/>
      <c r="V73" s="30"/>
      <c r="W73" s="30"/>
      <c r="X73" s="30"/>
      <c r="Y73" s="30"/>
    </row>
    <row r="74" spans="1:25" ht="20.149999999999999" customHeight="1" x14ac:dyDescent="0.35">
      <c r="A74" s="225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171"/>
      <c r="R74" s="30"/>
      <c r="S74" s="30"/>
      <c r="T74" s="30"/>
      <c r="U74" s="30"/>
      <c r="V74" s="30"/>
      <c r="W74" s="30"/>
      <c r="X74" s="30"/>
      <c r="Y74" s="30"/>
    </row>
    <row r="75" spans="1:25" ht="20.149999999999999" customHeight="1" x14ac:dyDescent="0.35">
      <c r="A75" s="225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171"/>
      <c r="R75" s="30"/>
      <c r="S75" s="30"/>
      <c r="T75" s="30"/>
      <c r="U75" s="30"/>
      <c r="V75" s="30"/>
      <c r="W75" s="30"/>
      <c r="X75" s="30"/>
      <c r="Y75" s="30"/>
    </row>
    <row r="76" spans="1:25" ht="20.149999999999999" customHeight="1" x14ac:dyDescent="0.35">
      <c r="A76" s="225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171"/>
      <c r="R76" s="30"/>
      <c r="S76" s="30"/>
      <c r="T76" s="30"/>
      <c r="U76" s="30"/>
      <c r="V76" s="30"/>
      <c r="W76" s="30"/>
      <c r="X76" s="30"/>
      <c r="Y76" s="30"/>
    </row>
    <row r="77" spans="1:25" ht="20.149999999999999" customHeight="1" x14ac:dyDescent="0.35">
      <c r="A77" s="225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171"/>
      <c r="R77" s="30"/>
      <c r="S77" s="30"/>
      <c r="T77" s="30"/>
      <c r="U77" s="30"/>
      <c r="V77" s="30"/>
      <c r="W77" s="30"/>
      <c r="X77" s="30"/>
      <c r="Y77" s="30"/>
    </row>
    <row r="78" spans="1:25" ht="20.149999999999999" customHeight="1" x14ac:dyDescent="0.35">
      <c r="A78" s="225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171"/>
      <c r="R78" s="30"/>
      <c r="S78" s="30"/>
      <c r="T78" s="30"/>
      <c r="U78" s="30"/>
      <c r="V78" s="30"/>
      <c r="W78" s="30"/>
      <c r="X78" s="30"/>
      <c r="Y78" s="30"/>
    </row>
    <row r="79" spans="1:25" ht="20.149999999999999" customHeight="1" x14ac:dyDescent="0.35">
      <c r="A79" s="225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171"/>
      <c r="R79" s="30"/>
      <c r="S79" s="30"/>
      <c r="T79" s="30"/>
      <c r="U79" s="30"/>
      <c r="V79" s="30"/>
      <c r="W79" s="30"/>
      <c r="X79" s="30"/>
      <c r="Y79" s="30"/>
    </row>
    <row r="80" spans="1:25" ht="20.149999999999999" customHeight="1" x14ac:dyDescent="0.35">
      <c r="A80" s="225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171"/>
      <c r="R80" s="30"/>
      <c r="S80" s="30"/>
      <c r="T80" s="30"/>
      <c r="U80" s="30"/>
      <c r="V80" s="30"/>
      <c r="W80" s="30"/>
      <c r="X80" s="30"/>
      <c r="Y80" s="30"/>
    </row>
    <row r="81" spans="2:25" ht="20.149999999999999" customHeight="1" x14ac:dyDescent="0.35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R81" s="30"/>
      <c r="S81" s="30"/>
      <c r="T81" s="30"/>
      <c r="U81" s="30"/>
      <c r="V81" s="30"/>
      <c r="W81" s="30"/>
      <c r="X81" s="30"/>
      <c r="Y81" s="30"/>
    </row>
    <row r="82" spans="2:25" ht="20.149999999999999" customHeight="1" x14ac:dyDescent="0.35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R82" s="30"/>
      <c r="S82" s="30"/>
      <c r="T82" s="30"/>
      <c r="U82" s="30"/>
      <c r="V82" s="30"/>
      <c r="W82" s="30"/>
      <c r="X82" s="30"/>
      <c r="Y82" s="30"/>
    </row>
    <row r="83" spans="2:25" ht="20.149999999999999" customHeight="1" x14ac:dyDescent="0.35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R83" s="30"/>
      <c r="S83" s="30"/>
      <c r="T83" s="30"/>
      <c r="U83" s="30"/>
      <c r="V83" s="30"/>
      <c r="W83" s="30"/>
      <c r="X83" s="30"/>
      <c r="Y83" s="30"/>
    </row>
    <row r="84" spans="2:25" ht="20.149999999999999" customHeight="1" x14ac:dyDescent="0.35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R84" s="30"/>
      <c r="S84" s="30"/>
      <c r="T84" s="30"/>
      <c r="U84" s="30"/>
      <c r="V84" s="30"/>
      <c r="W84" s="30"/>
      <c r="X84" s="30"/>
      <c r="Y84" s="30"/>
    </row>
    <row r="85" spans="2:25" ht="20.149999999999999" customHeight="1" x14ac:dyDescent="0.3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R85" s="30"/>
      <c r="S85" s="30"/>
      <c r="T85" s="30"/>
      <c r="U85" s="30"/>
      <c r="V85" s="30"/>
      <c r="W85" s="30"/>
      <c r="X85" s="30"/>
      <c r="Y85" s="30"/>
    </row>
    <row r="86" spans="2:25" ht="20.149999999999999" customHeight="1" x14ac:dyDescent="0.35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R86" s="30"/>
      <c r="S86" s="30"/>
      <c r="T86" s="30"/>
      <c r="U86" s="30"/>
      <c r="V86" s="30"/>
      <c r="W86" s="30"/>
      <c r="X86" s="30"/>
      <c r="Y86" s="30"/>
    </row>
    <row r="87" spans="2:25" ht="20.149999999999999" customHeight="1" x14ac:dyDescent="0.35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R87" s="30"/>
      <c r="S87" s="30"/>
      <c r="T87" s="30"/>
      <c r="U87" s="30"/>
      <c r="V87" s="30"/>
      <c r="W87" s="30"/>
      <c r="X87" s="30"/>
      <c r="Y87" s="30"/>
    </row>
    <row r="88" spans="2:25" ht="20.149999999999999" customHeight="1" x14ac:dyDescent="0.35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R88" s="30"/>
      <c r="S88" s="30"/>
      <c r="T88" s="30"/>
      <c r="U88" s="30"/>
      <c r="V88" s="30"/>
      <c r="W88" s="30"/>
      <c r="X88" s="30"/>
      <c r="Y88" s="30"/>
    </row>
    <row r="89" spans="2:25" ht="20.149999999999999" customHeight="1" x14ac:dyDescent="0.35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R89" s="30"/>
      <c r="S89" s="30"/>
      <c r="T89" s="30"/>
      <c r="U89" s="30"/>
      <c r="V89" s="30"/>
      <c r="W89" s="30"/>
      <c r="X89" s="30"/>
      <c r="Y89" s="30"/>
    </row>
    <row r="90" spans="2:25" ht="20.149999999999999" customHeight="1" x14ac:dyDescent="0.35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R90" s="30"/>
      <c r="S90" s="30"/>
      <c r="T90" s="30"/>
      <c r="U90" s="30"/>
      <c r="V90" s="30"/>
      <c r="W90" s="30"/>
      <c r="X90" s="30"/>
      <c r="Y90" s="30"/>
    </row>
    <row r="91" spans="2:25" ht="20.149999999999999" customHeight="1" x14ac:dyDescent="0.35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R91" s="30"/>
      <c r="S91" s="30"/>
      <c r="T91" s="30"/>
      <c r="U91" s="30"/>
      <c r="V91" s="30"/>
      <c r="W91" s="30"/>
      <c r="X91" s="30"/>
      <c r="Y91" s="30"/>
    </row>
    <row r="92" spans="2:25" ht="20.149999999999999" customHeight="1" x14ac:dyDescent="0.35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R92" s="30"/>
      <c r="S92" s="30"/>
      <c r="T92" s="30"/>
      <c r="U92" s="30"/>
      <c r="V92" s="30"/>
      <c r="W92" s="30"/>
      <c r="X92" s="30"/>
      <c r="Y92" s="30"/>
    </row>
    <row r="93" spans="2:25" ht="20.149999999999999" customHeight="1" x14ac:dyDescent="0.35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R93" s="30"/>
      <c r="S93" s="30"/>
      <c r="T93" s="30"/>
      <c r="U93" s="30"/>
      <c r="V93" s="30"/>
      <c r="W93" s="30"/>
      <c r="X93" s="30"/>
      <c r="Y93" s="30"/>
    </row>
    <row r="94" spans="2:25" ht="20.149999999999999" customHeight="1" x14ac:dyDescent="0.35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R94" s="30"/>
      <c r="S94" s="30"/>
      <c r="T94" s="30"/>
      <c r="U94" s="30"/>
      <c r="V94" s="30"/>
      <c r="W94" s="30"/>
      <c r="X94" s="30"/>
      <c r="Y94" s="30"/>
    </row>
    <row r="95" spans="2:25" ht="20.149999999999999" customHeight="1" x14ac:dyDescent="0.3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R95" s="30"/>
      <c r="S95" s="30"/>
      <c r="T95" s="30"/>
      <c r="U95" s="30"/>
      <c r="V95" s="30"/>
      <c r="W95" s="30"/>
      <c r="X95" s="30"/>
      <c r="Y95" s="30"/>
    </row>
    <row r="96" spans="2:25" ht="20.149999999999999" customHeight="1" x14ac:dyDescent="0.35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R96" s="30"/>
      <c r="S96" s="30"/>
      <c r="T96" s="30"/>
      <c r="U96" s="30"/>
      <c r="V96" s="30"/>
      <c r="W96" s="30"/>
      <c r="X96" s="30"/>
      <c r="Y96" s="30"/>
    </row>
    <row r="97" spans="2:25" ht="20.149999999999999" customHeight="1" x14ac:dyDescent="0.35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R97" s="30"/>
      <c r="S97" s="30"/>
      <c r="T97" s="30"/>
      <c r="U97" s="30"/>
      <c r="V97" s="30"/>
      <c r="W97" s="30"/>
      <c r="X97" s="30"/>
      <c r="Y97" s="30"/>
    </row>
    <row r="98" spans="2:25" ht="20.149999999999999" customHeight="1" x14ac:dyDescent="0.35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R98" s="30"/>
      <c r="S98" s="30"/>
      <c r="T98" s="30"/>
      <c r="U98" s="30"/>
      <c r="V98" s="30"/>
      <c r="W98" s="30"/>
      <c r="X98" s="30"/>
      <c r="Y98" s="30"/>
    </row>
    <row r="99" spans="2:25" ht="20.149999999999999" customHeight="1" x14ac:dyDescent="0.35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R99" s="30"/>
      <c r="S99" s="30"/>
      <c r="T99" s="30"/>
      <c r="U99" s="30"/>
      <c r="V99" s="30"/>
      <c r="W99" s="30"/>
      <c r="X99" s="30"/>
      <c r="Y99" s="30"/>
    </row>
    <row r="100" spans="2:25" ht="20.149999999999999" customHeight="1" x14ac:dyDescent="0.35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R100" s="30"/>
      <c r="S100" s="30"/>
      <c r="T100" s="30"/>
      <c r="U100" s="30"/>
      <c r="V100" s="30"/>
      <c r="W100" s="30"/>
      <c r="X100" s="30"/>
      <c r="Y100" s="30"/>
    </row>
    <row r="101" spans="2:25" ht="20.149999999999999" customHeight="1" x14ac:dyDescent="0.35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R101" s="30"/>
      <c r="S101" s="30"/>
      <c r="T101" s="30"/>
      <c r="U101" s="30"/>
      <c r="V101" s="30"/>
      <c r="W101" s="30"/>
      <c r="X101" s="30"/>
      <c r="Y101" s="30"/>
    </row>
    <row r="102" spans="2:25" ht="20.149999999999999" customHeight="1" x14ac:dyDescent="0.35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R102" s="30"/>
      <c r="S102" s="30"/>
      <c r="T102" s="30"/>
      <c r="U102" s="30"/>
      <c r="V102" s="30"/>
      <c r="W102" s="30"/>
      <c r="X102" s="30"/>
      <c r="Y102" s="30"/>
    </row>
    <row r="103" spans="2:25" ht="20.149999999999999" customHeight="1" x14ac:dyDescent="0.35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R103" s="30"/>
      <c r="S103" s="30"/>
      <c r="T103" s="30"/>
      <c r="U103" s="30"/>
      <c r="V103" s="30"/>
      <c r="W103" s="30"/>
      <c r="X103" s="30"/>
      <c r="Y103" s="30"/>
    </row>
    <row r="104" spans="2:25" ht="20.149999999999999" customHeight="1" x14ac:dyDescent="0.3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R104" s="30"/>
      <c r="S104" s="30"/>
      <c r="T104" s="30"/>
      <c r="U104" s="30"/>
      <c r="V104" s="30"/>
      <c r="W104" s="30"/>
      <c r="X104" s="30"/>
      <c r="Y104" s="30"/>
    </row>
    <row r="105" spans="2:25" ht="20.149999999999999" customHeight="1" x14ac:dyDescent="0.3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R105" s="30"/>
      <c r="S105" s="30"/>
      <c r="T105" s="30"/>
      <c r="U105" s="30"/>
      <c r="V105" s="30"/>
      <c r="W105" s="30"/>
      <c r="X105" s="30"/>
      <c r="Y105" s="30"/>
    </row>
    <row r="106" spans="2:25" ht="20.149999999999999" customHeight="1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R106" s="30"/>
      <c r="S106" s="30"/>
      <c r="T106" s="30"/>
      <c r="U106" s="30"/>
      <c r="V106" s="30"/>
      <c r="W106" s="30"/>
      <c r="X106" s="30"/>
      <c r="Y106" s="30"/>
    </row>
    <row r="107" spans="2:25" ht="20.149999999999999" customHeight="1" x14ac:dyDescent="0.35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R107" s="30"/>
      <c r="S107" s="30"/>
      <c r="T107" s="30"/>
      <c r="U107" s="30"/>
      <c r="V107" s="30"/>
      <c r="W107" s="30"/>
      <c r="X107" s="30"/>
      <c r="Y107" s="30"/>
    </row>
    <row r="108" spans="2:25" ht="20.149999999999999" customHeight="1" x14ac:dyDescent="0.35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R108" s="30"/>
      <c r="S108" s="30"/>
      <c r="T108" s="30"/>
      <c r="U108" s="30"/>
      <c r="V108" s="30"/>
      <c r="W108" s="30"/>
      <c r="X108" s="30"/>
      <c r="Y108" s="30"/>
    </row>
    <row r="109" spans="2:25" ht="20.149999999999999" customHeight="1" x14ac:dyDescent="0.35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R109" s="30"/>
      <c r="S109" s="30"/>
      <c r="T109" s="30"/>
      <c r="U109" s="30"/>
      <c r="V109" s="30"/>
      <c r="W109" s="30"/>
      <c r="X109" s="30"/>
      <c r="Y109" s="30"/>
    </row>
    <row r="110" spans="2:25" ht="20.149999999999999" customHeight="1" x14ac:dyDescent="0.35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R110" s="30"/>
      <c r="S110" s="30"/>
      <c r="T110" s="30"/>
      <c r="U110" s="30"/>
      <c r="V110" s="30"/>
      <c r="W110" s="30"/>
      <c r="X110" s="30"/>
      <c r="Y110" s="30"/>
    </row>
    <row r="111" spans="2:25" ht="20.149999999999999" customHeight="1" x14ac:dyDescent="0.35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R111" s="30"/>
      <c r="S111" s="30"/>
      <c r="T111" s="30"/>
      <c r="U111" s="30"/>
      <c r="V111" s="30"/>
      <c r="W111" s="30"/>
      <c r="X111" s="30"/>
      <c r="Y111" s="30"/>
    </row>
    <row r="112" spans="2:25" ht="20.149999999999999" customHeight="1" x14ac:dyDescent="0.35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R112" s="30"/>
      <c r="S112" s="30"/>
      <c r="T112" s="30"/>
      <c r="U112" s="30"/>
      <c r="V112" s="30"/>
      <c r="W112" s="30"/>
      <c r="X112" s="30"/>
      <c r="Y112" s="30"/>
    </row>
    <row r="113" spans="2:25" ht="20.149999999999999" customHeight="1" x14ac:dyDescent="0.35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R113" s="30"/>
      <c r="S113" s="30"/>
      <c r="T113" s="30"/>
      <c r="U113" s="30"/>
      <c r="V113" s="30"/>
      <c r="W113" s="30"/>
      <c r="X113" s="30"/>
      <c r="Y113" s="30"/>
    </row>
    <row r="114" spans="2:25" ht="20.149999999999999" customHeight="1" x14ac:dyDescent="0.35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R114" s="30"/>
      <c r="S114" s="30"/>
      <c r="T114" s="30"/>
      <c r="U114" s="30"/>
      <c r="V114" s="30"/>
      <c r="W114" s="30"/>
      <c r="X114" s="30"/>
      <c r="Y114" s="30"/>
    </row>
    <row r="115" spans="2:25" ht="20.149999999999999" customHeight="1" x14ac:dyDescent="0.3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R115" s="30"/>
      <c r="S115" s="30"/>
      <c r="T115" s="30"/>
      <c r="U115" s="30"/>
      <c r="V115" s="30"/>
      <c r="W115" s="30"/>
      <c r="X115" s="30"/>
      <c r="Y115" s="30"/>
    </row>
    <row r="116" spans="2:25" ht="20.149999999999999" customHeight="1" x14ac:dyDescent="0.35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R116" s="30"/>
      <c r="S116" s="30"/>
      <c r="T116" s="30"/>
      <c r="U116" s="30"/>
      <c r="V116" s="30"/>
      <c r="W116" s="30"/>
      <c r="X116" s="30"/>
      <c r="Y116" s="30"/>
    </row>
    <row r="117" spans="2:25" ht="20.149999999999999" customHeight="1" x14ac:dyDescent="0.35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R117" s="30"/>
      <c r="S117" s="30"/>
      <c r="T117" s="30"/>
      <c r="U117" s="30"/>
      <c r="V117" s="30"/>
      <c r="W117" s="30"/>
      <c r="X117" s="30"/>
      <c r="Y117" s="30"/>
    </row>
    <row r="118" spans="2:25" ht="20.149999999999999" customHeight="1" x14ac:dyDescent="0.35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R118" s="30"/>
      <c r="S118" s="30"/>
      <c r="T118" s="30"/>
      <c r="U118" s="30"/>
      <c r="V118" s="30"/>
      <c r="W118" s="30"/>
      <c r="X118" s="30"/>
      <c r="Y118" s="30"/>
    </row>
    <row r="119" spans="2:25" ht="20.149999999999999" customHeight="1" x14ac:dyDescent="0.35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R119" s="30"/>
      <c r="S119" s="30"/>
      <c r="T119" s="30"/>
      <c r="U119" s="30"/>
      <c r="V119" s="30"/>
      <c r="W119" s="30"/>
      <c r="X119" s="30"/>
      <c r="Y119" s="30"/>
    </row>
    <row r="120" spans="2:25" ht="20.149999999999999" customHeight="1" x14ac:dyDescent="0.35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R120" s="30"/>
      <c r="S120" s="30"/>
      <c r="T120" s="30"/>
      <c r="U120" s="30"/>
      <c r="V120" s="30"/>
      <c r="W120" s="30"/>
      <c r="X120" s="30"/>
      <c r="Y120" s="30"/>
    </row>
    <row r="121" spans="2:25" ht="20.149999999999999" customHeight="1" x14ac:dyDescent="0.35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R121" s="30"/>
      <c r="S121" s="30"/>
      <c r="T121" s="30"/>
      <c r="U121" s="30"/>
      <c r="V121" s="30"/>
      <c r="W121" s="30"/>
      <c r="X121" s="30"/>
      <c r="Y121" s="30"/>
    </row>
    <row r="122" spans="2:25" ht="20.149999999999999" customHeight="1" x14ac:dyDescent="0.35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R122" s="30"/>
      <c r="S122" s="30"/>
      <c r="T122" s="30"/>
      <c r="U122" s="30"/>
      <c r="V122" s="30"/>
      <c r="W122" s="30"/>
      <c r="X122" s="30"/>
      <c r="Y122" s="30"/>
    </row>
    <row r="123" spans="2:25" ht="20.149999999999999" customHeight="1" x14ac:dyDescent="0.35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R123" s="30"/>
      <c r="S123" s="30"/>
      <c r="T123" s="30"/>
      <c r="U123" s="30"/>
      <c r="V123" s="30"/>
      <c r="W123" s="30"/>
      <c r="X123" s="30"/>
      <c r="Y123" s="30"/>
    </row>
    <row r="124" spans="2:25" ht="20.149999999999999" customHeight="1" x14ac:dyDescent="0.35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R124" s="30"/>
      <c r="S124" s="30"/>
      <c r="T124" s="30"/>
      <c r="U124" s="30"/>
      <c r="V124" s="30"/>
      <c r="W124" s="30"/>
      <c r="X124" s="30"/>
      <c r="Y124" s="30"/>
    </row>
    <row r="125" spans="2:25" ht="20.149999999999999" customHeight="1" x14ac:dyDescent="0.3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R125" s="30"/>
      <c r="S125" s="30"/>
      <c r="T125" s="30"/>
      <c r="U125" s="30"/>
      <c r="V125" s="30"/>
      <c r="W125" s="30"/>
      <c r="X125" s="30"/>
      <c r="Y125" s="30"/>
    </row>
    <row r="126" spans="2:25" ht="20.149999999999999" customHeight="1" x14ac:dyDescent="0.35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R126" s="30"/>
      <c r="S126" s="30"/>
      <c r="T126" s="30"/>
      <c r="U126" s="30"/>
      <c r="V126" s="30"/>
      <c r="W126" s="30"/>
      <c r="X126" s="30"/>
      <c r="Y126" s="30"/>
    </row>
    <row r="127" spans="2:25" ht="20.149999999999999" customHeight="1" x14ac:dyDescent="0.35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R127" s="30"/>
      <c r="S127" s="30"/>
      <c r="T127" s="30"/>
      <c r="U127" s="30"/>
      <c r="V127" s="30"/>
      <c r="W127" s="30"/>
      <c r="X127" s="30"/>
      <c r="Y127" s="30"/>
    </row>
    <row r="128" spans="2:25" ht="20.149999999999999" customHeight="1" x14ac:dyDescent="0.35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R128" s="30"/>
      <c r="S128" s="30"/>
      <c r="T128" s="30"/>
      <c r="U128" s="30"/>
      <c r="V128" s="30"/>
      <c r="W128" s="30"/>
      <c r="X128" s="30"/>
      <c r="Y128" s="30"/>
    </row>
    <row r="129" spans="2:25" ht="20.149999999999999" customHeight="1" x14ac:dyDescent="0.35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R129" s="30"/>
      <c r="S129" s="30"/>
      <c r="T129" s="30"/>
      <c r="U129" s="30"/>
      <c r="V129" s="30"/>
      <c r="W129" s="30"/>
      <c r="X129" s="30"/>
      <c r="Y129" s="30"/>
    </row>
    <row r="130" spans="2:25" ht="20.149999999999999" customHeight="1" x14ac:dyDescent="0.35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R130" s="30"/>
      <c r="S130" s="30"/>
      <c r="T130" s="30"/>
      <c r="U130" s="30"/>
      <c r="V130" s="30"/>
      <c r="W130" s="30"/>
      <c r="X130" s="30"/>
      <c r="Y130" s="30"/>
    </row>
    <row r="131" spans="2:25" ht="20.149999999999999" customHeight="1" x14ac:dyDescent="0.3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R131" s="30"/>
      <c r="S131" s="30"/>
      <c r="T131" s="30"/>
      <c r="U131" s="30"/>
      <c r="V131" s="30"/>
      <c r="W131" s="30"/>
      <c r="X131" s="30"/>
      <c r="Y131" s="30"/>
    </row>
    <row r="132" spans="2:25" ht="20.149999999999999" customHeight="1" x14ac:dyDescent="0.35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R132" s="30"/>
      <c r="S132" s="30"/>
      <c r="T132" s="30"/>
      <c r="U132" s="30"/>
      <c r="V132" s="30"/>
      <c r="W132" s="30"/>
      <c r="X132" s="30"/>
      <c r="Y132" s="30"/>
    </row>
    <row r="133" spans="2:25" ht="20.149999999999999" customHeight="1" x14ac:dyDescent="0.35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R133" s="30"/>
      <c r="S133" s="30"/>
      <c r="T133" s="30"/>
      <c r="U133" s="30"/>
      <c r="V133" s="30"/>
      <c r="W133" s="30"/>
      <c r="X133" s="30"/>
      <c r="Y133" s="30"/>
    </row>
    <row r="134" spans="2:25" ht="20.149999999999999" customHeight="1" x14ac:dyDescent="0.35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R134" s="30"/>
      <c r="S134" s="30"/>
      <c r="T134" s="30"/>
      <c r="U134" s="30"/>
      <c r="V134" s="30"/>
      <c r="W134" s="30"/>
      <c r="X134" s="30"/>
      <c r="Y134" s="30"/>
    </row>
    <row r="135" spans="2:25" ht="20.149999999999999" customHeight="1" x14ac:dyDescent="0.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R135" s="30"/>
      <c r="S135" s="30"/>
      <c r="T135" s="30"/>
      <c r="U135" s="30"/>
      <c r="V135" s="30"/>
      <c r="W135" s="30"/>
      <c r="X135" s="30"/>
      <c r="Y135" s="30"/>
    </row>
  </sheetData>
  <printOptions horizontalCentered="1"/>
  <pageMargins left="0.25" right="0.25" top="0.5" bottom="0.5" header="0.3" footer="0.3"/>
  <pageSetup scale="57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7" r:id="rId4" name="Button 1">
              <controlPr defaultSize="0" print="0" autoFill="0" autoPict="0" macro="[0]!pdfPage28">
                <anchor moveWithCells="1" sizeWithCells="1">
                  <from>
                    <xdr:col>0</xdr:col>
                    <xdr:colOff>38100</xdr:colOff>
                    <xdr:row>0</xdr:row>
                    <xdr:rowOff>19050</xdr:rowOff>
                  </from>
                  <to>
                    <xdr:col>0</xdr:col>
                    <xdr:colOff>50800</xdr:colOff>
                    <xdr:row>0</xdr:row>
                    <xdr:rowOff>38100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FB1769-4A31-4A1B-9926-BAEDD171DC1A}">
  <sheetPr codeName="Sheet43">
    <tabColor theme="5" tint="-0.249977111117893"/>
  </sheetPr>
  <dimension ref="A1:AB66"/>
  <sheetViews>
    <sheetView topLeftCell="A15" zoomScale="85" zoomScaleNormal="85" zoomScaleSheetLayoutView="120" workbookViewId="0">
      <selection activeCell="D34" sqref="D34"/>
    </sheetView>
  </sheetViews>
  <sheetFormatPr defaultColWidth="9" defaultRowHeight="20.149999999999999" customHeight="1" x14ac:dyDescent="0.35"/>
  <cols>
    <col min="1" max="1" width="40.58203125" style="28" customWidth="1"/>
    <col min="2" max="8" width="19.83203125" style="54" customWidth="1"/>
    <col min="9" max="9" width="5.25" style="54" hidden="1" customWidth="1"/>
    <col min="10" max="10" width="7.08203125" style="54" hidden="1" customWidth="1"/>
    <col min="11" max="11" width="14.33203125" style="158" hidden="1" customWidth="1"/>
    <col min="12" max="12" width="7.08203125" style="54" hidden="1" customWidth="1"/>
    <col min="13" max="13" width="0" style="54" hidden="1" customWidth="1"/>
    <col min="14" max="14" width="14.83203125" style="54" hidden="1" customWidth="1"/>
    <col min="15" max="15" width="0" style="54" hidden="1" customWidth="1"/>
    <col min="16" max="16" width="13.08203125" style="54" hidden="1" customWidth="1"/>
    <col min="17" max="17" width="0" style="54" hidden="1" customWidth="1"/>
    <col min="18" max="18" width="11.58203125" style="54" hidden="1" customWidth="1"/>
    <col min="19" max="19" width="2.5" style="54" hidden="1" customWidth="1"/>
    <col min="20" max="20" width="12.58203125" style="54" hidden="1" customWidth="1"/>
    <col min="21" max="21" width="3.33203125" style="54" hidden="1" customWidth="1"/>
    <col min="22" max="22" width="12.08203125" style="54" hidden="1" customWidth="1"/>
    <col min="23" max="23" width="0" style="54" hidden="1" customWidth="1"/>
    <col min="24" max="24" width="14.33203125" style="54" hidden="1" customWidth="1"/>
    <col min="25" max="25" width="3.33203125" style="54" hidden="1" customWidth="1"/>
    <col min="26" max="26" width="16.5" style="54" hidden="1" customWidth="1"/>
    <col min="27" max="27" width="3.75" style="54" hidden="1" customWidth="1"/>
    <col min="28" max="28" width="16.08203125" style="54" customWidth="1"/>
    <col min="29" max="29" width="9" style="54"/>
    <col min="30" max="30" width="16.5" style="54" customWidth="1"/>
    <col min="31" max="16384" width="9" style="54"/>
  </cols>
  <sheetData>
    <row r="1" spans="1:28" s="59" customFormat="1" ht="19" thickBot="1" x14ac:dyDescent="0.5">
      <c r="A1" s="10" t="str">
        <f>Page_1!A1</f>
        <v>IRR 2023 Sch A-13 F.Z25.XLSM</v>
      </c>
      <c r="B1" s="32"/>
      <c r="C1" s="33"/>
      <c r="D1" s="33"/>
      <c r="E1" s="33"/>
      <c r="F1" s="33"/>
      <c r="G1" s="33"/>
      <c r="H1" s="33"/>
      <c r="I1" s="33"/>
      <c r="K1" s="173"/>
    </row>
    <row r="2" spans="1:28" s="59" customFormat="1" ht="19" thickBot="1" x14ac:dyDescent="0.5">
      <c r="A2" s="414" t="str">
        <f>Page_1!A2</f>
        <v>09/20/2022</v>
      </c>
      <c r="C2" s="33"/>
      <c r="D2" s="33"/>
      <c r="E2" s="33"/>
      <c r="F2" s="33"/>
      <c r="G2" s="33"/>
      <c r="H2" s="33"/>
      <c r="I2" s="33"/>
      <c r="K2" s="174" t="s">
        <v>321</v>
      </c>
    </row>
    <row r="3" spans="1:28" s="59" customFormat="1" ht="18.5" x14ac:dyDescent="0.45">
      <c r="A3" s="439" t="str">
        <f>Page_1!A3</f>
        <v>CENTRAL VALLEY PROJECT</v>
      </c>
      <c r="C3" s="33"/>
      <c r="D3" s="33"/>
      <c r="E3" s="33"/>
      <c r="F3" s="33"/>
      <c r="G3" s="33"/>
      <c r="H3" s="33"/>
      <c r="I3" s="33"/>
      <c r="J3" s="175"/>
      <c r="K3" s="176" t="s">
        <v>322</v>
      </c>
      <c r="L3" s="175"/>
    </row>
    <row r="4" spans="1:28" s="59" customFormat="1" ht="55.5" x14ac:dyDescent="0.45">
      <c r="A4" s="439" t="str">
        <f>Page_1!A4</f>
        <v>SCHEDULE OF HISTORICAL (1981-2021) &amp; PROJECTED (2022-2030) IRRIGATION WATER DELIVERIES (IN ACRE FEET)</v>
      </c>
      <c r="C4" s="33"/>
      <c r="D4" s="33"/>
      <c r="E4" s="33"/>
      <c r="F4" s="33"/>
      <c r="G4" s="33"/>
      <c r="H4" s="33"/>
      <c r="I4" s="33"/>
      <c r="J4" s="175"/>
      <c r="K4" s="177"/>
      <c r="L4" s="178"/>
      <c r="N4" s="59" t="s">
        <v>323</v>
      </c>
    </row>
    <row r="5" spans="1:28" s="59" customFormat="1" ht="56" thickBot="1" x14ac:dyDescent="0.5">
      <c r="A5" s="443" t="str">
        <f>Page_1!A5</f>
        <v>FOR CALCULATION OF INDIVIDUAL CONTRACTOR PRORATED CONSTRUCTION COSTS AND RATE</v>
      </c>
      <c r="B5" s="230"/>
      <c r="C5" s="230"/>
      <c r="D5" s="230"/>
      <c r="E5" s="230"/>
      <c r="F5" s="230"/>
      <c r="G5" s="230"/>
      <c r="H5" s="230"/>
      <c r="I5" s="32"/>
      <c r="K5" s="173"/>
      <c r="N5" s="180" t="s">
        <v>324</v>
      </c>
      <c r="O5" s="180"/>
      <c r="P5" s="180"/>
      <c r="Q5" s="180"/>
      <c r="R5" s="180"/>
      <c r="S5" s="180"/>
      <c r="T5" s="180"/>
      <c r="U5" s="180"/>
      <c r="V5" s="180"/>
      <c r="W5" s="180"/>
      <c r="X5" s="180"/>
      <c r="Y5" s="180"/>
      <c r="Z5" s="180"/>
    </row>
    <row r="6" spans="1:28" ht="46.5" x14ac:dyDescent="0.35">
      <c r="A6" s="442" t="s">
        <v>325</v>
      </c>
      <c r="C6" s="231"/>
      <c r="D6" s="231"/>
      <c r="E6" s="231"/>
      <c r="F6" s="231"/>
      <c r="G6" s="231"/>
      <c r="H6" s="231"/>
      <c r="I6" s="92"/>
      <c r="V6" s="54" t="s">
        <v>326</v>
      </c>
    </row>
    <row r="7" spans="1:28" s="69" customFormat="1" ht="93" x14ac:dyDescent="0.35">
      <c r="A7" s="440" t="s">
        <v>34</v>
      </c>
      <c r="B7" s="434" t="s">
        <v>327</v>
      </c>
      <c r="C7" s="435" t="s">
        <v>328</v>
      </c>
      <c r="D7" s="435" t="s">
        <v>329</v>
      </c>
      <c r="E7" s="441" t="s">
        <v>330</v>
      </c>
      <c r="F7" s="441" t="s">
        <v>331</v>
      </c>
      <c r="G7" s="441" t="s">
        <v>332</v>
      </c>
      <c r="H7" s="441" t="s">
        <v>333</v>
      </c>
      <c r="I7" s="68"/>
      <c r="K7" s="181" t="s">
        <v>334</v>
      </c>
      <c r="L7" s="182"/>
      <c r="M7" s="182"/>
      <c r="N7" s="183" t="s">
        <v>335</v>
      </c>
      <c r="P7" s="184" t="s">
        <v>336</v>
      </c>
      <c r="R7" s="184" t="s">
        <v>337</v>
      </c>
      <c r="S7" s="88"/>
      <c r="T7" s="185" t="s">
        <v>338</v>
      </c>
      <c r="V7" s="186" t="s">
        <v>339</v>
      </c>
      <c r="W7" s="88"/>
      <c r="X7" s="187"/>
      <c r="Y7" s="185"/>
      <c r="Z7" s="188" t="s">
        <v>340</v>
      </c>
      <c r="AA7" s="186"/>
      <c r="AB7" s="189"/>
    </row>
    <row r="8" spans="1:28" s="131" customFormat="1" ht="20.149999999999999" hidden="1" customHeight="1" thickBot="1" x14ac:dyDescent="0.4">
      <c r="A8" s="190"/>
      <c r="B8" s="191"/>
      <c r="C8" s="102"/>
      <c r="D8" s="102"/>
      <c r="E8" s="101"/>
      <c r="F8" s="192"/>
      <c r="G8" s="192"/>
      <c r="H8" s="192"/>
      <c r="I8" s="104"/>
      <c r="K8" s="193" t="s">
        <v>341</v>
      </c>
      <c r="M8" s="194"/>
      <c r="N8" s="103" t="s">
        <v>342</v>
      </c>
      <c r="P8" s="107" t="s">
        <v>41</v>
      </c>
      <c r="R8" s="107" t="s">
        <v>41</v>
      </c>
      <c r="S8" s="99"/>
      <c r="T8" s="195"/>
      <c r="V8" s="196" t="s">
        <v>343</v>
      </c>
      <c r="W8" s="197"/>
      <c r="X8" s="198" t="s">
        <v>344</v>
      </c>
      <c r="Y8" s="199"/>
      <c r="Z8" s="200"/>
      <c r="AA8" s="201"/>
      <c r="AB8" s="202"/>
    </row>
    <row r="9" spans="1:28" ht="20.149999999999999" hidden="1" customHeight="1" x14ac:dyDescent="0.35">
      <c r="A9" s="24" t="s">
        <v>102</v>
      </c>
      <c r="B9" s="111">
        <v>5000</v>
      </c>
      <c r="C9" s="111"/>
      <c r="D9" s="111">
        <v>2500</v>
      </c>
      <c r="E9" s="111">
        <f>400/11500</f>
        <v>3.4782608695652174E-2</v>
      </c>
      <c r="F9" s="111">
        <f>1200/7700</f>
        <v>0.15584415584415584</v>
      </c>
      <c r="G9" s="111">
        <f>7400/7900</f>
        <v>0.93670886075949367</v>
      </c>
      <c r="H9" s="111">
        <f>250/1450</f>
        <v>0.17241379310344829</v>
      </c>
      <c r="I9" s="111"/>
      <c r="N9" s="111">
        <f>20000-5000</f>
        <v>15000</v>
      </c>
      <c r="R9" s="111">
        <f>2500-2500</f>
        <v>0</v>
      </c>
      <c r="S9" s="111"/>
      <c r="T9" s="111"/>
      <c r="V9" s="111">
        <f>7500-2500</f>
        <v>5000</v>
      </c>
      <c r="X9" s="111" t="s">
        <v>345</v>
      </c>
      <c r="Y9" s="111"/>
      <c r="Z9" s="111"/>
      <c r="AA9" s="111"/>
      <c r="AB9" s="111"/>
    </row>
    <row r="10" spans="1:28" ht="20.149999999999999" hidden="1" customHeight="1" x14ac:dyDescent="0.35">
      <c r="A10" s="24"/>
      <c r="B10" s="111"/>
      <c r="C10" s="111"/>
      <c r="D10" s="111"/>
      <c r="E10" s="111"/>
      <c r="F10" s="111"/>
      <c r="G10" s="111"/>
      <c r="H10" s="111"/>
      <c r="I10" s="111"/>
      <c r="N10" s="111"/>
      <c r="R10" s="111"/>
      <c r="S10" s="111"/>
      <c r="T10" s="111"/>
      <c r="V10" s="111"/>
      <c r="X10" s="111"/>
      <c r="Y10" s="111"/>
      <c r="Z10" s="111"/>
      <c r="AA10" s="111"/>
    </row>
    <row r="11" spans="1:28" ht="19.5" hidden="1" customHeight="1" x14ac:dyDescent="0.35">
      <c r="A11" s="24"/>
      <c r="B11" s="111"/>
      <c r="C11" s="111"/>
      <c r="D11" s="111"/>
      <c r="E11" s="111"/>
      <c r="F11" s="111"/>
      <c r="G11" s="111"/>
      <c r="H11" s="111"/>
      <c r="I11" s="111"/>
      <c r="N11" s="111"/>
      <c r="R11" s="111"/>
      <c r="S11" s="111"/>
      <c r="T11" s="111"/>
      <c r="V11" s="111"/>
      <c r="X11" s="111"/>
      <c r="Y11" s="111"/>
      <c r="Z11" s="111"/>
      <c r="AA11" s="111"/>
    </row>
    <row r="12" spans="1:28" ht="15.5" x14ac:dyDescent="0.35">
      <c r="A12" s="209">
        <v>1981</v>
      </c>
      <c r="B12" s="19">
        <f>N12*0.25</f>
        <v>6057.5</v>
      </c>
      <c r="C12" s="19">
        <f>+P12</f>
        <v>23244</v>
      </c>
      <c r="D12" s="19">
        <f>+R12</f>
        <v>3313</v>
      </c>
      <c r="E12" s="19">
        <f t="shared" ref="E12:E44" si="0">+T12*E$9</f>
        <v>427.61739130434785</v>
      </c>
      <c r="F12" s="19">
        <f t="shared" ref="F12:F40" si="1">+V12*$F$9</f>
        <v>1690.5974025974026</v>
      </c>
      <c r="G12" s="19">
        <f>+X12*$G$9</f>
        <v>444</v>
      </c>
      <c r="H12" s="19">
        <f t="shared" ref="H12:H44" si="2">+H$9*Z12</f>
        <v>260.34482758620692</v>
      </c>
      <c r="I12" s="19"/>
      <c r="K12" s="158">
        <f t="shared" ref="K12:K44" si="3">SUM(B12:H12)</f>
        <v>35437.059621487955</v>
      </c>
      <c r="N12" s="19">
        <v>24230</v>
      </c>
      <c r="P12" s="158">
        <v>23244</v>
      </c>
      <c r="R12" s="19">
        <v>3313</v>
      </c>
      <c r="S12" s="19"/>
      <c r="T12" s="19">
        <v>12294</v>
      </c>
      <c r="V12" s="19">
        <f>10848</f>
        <v>10848</v>
      </c>
      <c r="X12" s="19">
        <f>474</f>
        <v>474</v>
      </c>
      <c r="Y12" s="19"/>
      <c r="Z12" s="19">
        <v>1510</v>
      </c>
      <c r="AA12" s="19"/>
      <c r="AB12" s="204"/>
    </row>
    <row r="13" spans="1:28" ht="15.5" x14ac:dyDescent="0.35">
      <c r="A13" s="209">
        <v>1982</v>
      </c>
      <c r="B13" s="19">
        <f>N13*0.25</f>
        <v>3096.5</v>
      </c>
      <c r="C13" s="19">
        <f t="shared" ref="C13:C37" si="4">+P13</f>
        <v>29187</v>
      </c>
      <c r="D13" s="19">
        <f t="shared" ref="D13:D35" si="5">+R13</f>
        <v>2185</v>
      </c>
      <c r="E13" s="19">
        <f t="shared" si="0"/>
        <v>321.42608695652171</v>
      </c>
      <c r="F13" s="19">
        <f t="shared" si="1"/>
        <v>1057.090909090909</v>
      </c>
      <c r="G13" s="19">
        <f>+X13*$G$9</f>
        <v>7844</v>
      </c>
      <c r="H13" s="19">
        <f t="shared" si="2"/>
        <v>250.00000000000003</v>
      </c>
      <c r="I13" s="19"/>
      <c r="K13" s="158">
        <f t="shared" si="3"/>
        <v>43941.01699604743</v>
      </c>
      <c r="N13" s="19">
        <v>12386</v>
      </c>
      <c r="P13" s="158">
        <v>29187</v>
      </c>
      <c r="R13" s="19">
        <v>2185</v>
      </c>
      <c r="S13" s="19"/>
      <c r="T13" s="19">
        <v>9241</v>
      </c>
      <c r="V13" s="19">
        <f>6783</f>
        <v>6783</v>
      </c>
      <c r="X13" s="19">
        <f>8374</f>
        <v>8374</v>
      </c>
      <c r="Y13" s="19"/>
      <c r="Z13" s="19">
        <v>1450</v>
      </c>
      <c r="AA13" s="19"/>
      <c r="AB13" s="205"/>
    </row>
    <row r="14" spans="1:28" ht="15.5" x14ac:dyDescent="0.35">
      <c r="A14" s="209">
        <v>1983</v>
      </c>
      <c r="B14" s="19">
        <f>N14*0.25</f>
        <v>5363.5</v>
      </c>
      <c r="C14" s="19">
        <f t="shared" si="4"/>
        <v>23061</v>
      </c>
      <c r="D14" s="19">
        <f>+R14</f>
        <v>2404</v>
      </c>
      <c r="E14" s="19">
        <f t="shared" si="0"/>
        <v>442.26086956521738</v>
      </c>
      <c r="F14" s="19">
        <f t="shared" si="1"/>
        <v>1368.6233766233765</v>
      </c>
      <c r="G14" s="19">
        <f>+X14*$G$9</f>
        <v>7400</v>
      </c>
      <c r="H14" s="19">
        <f t="shared" si="2"/>
        <v>187.24137931034485</v>
      </c>
      <c r="I14" s="19"/>
      <c r="K14" s="158">
        <f t="shared" si="3"/>
        <v>40226.625625498942</v>
      </c>
      <c r="N14" s="19">
        <v>21454</v>
      </c>
      <c r="P14" s="158">
        <v>23061</v>
      </c>
      <c r="R14" s="19">
        <v>2404</v>
      </c>
      <c r="S14" s="19"/>
      <c r="T14" s="19">
        <v>12715</v>
      </c>
      <c r="V14" s="19">
        <f>8782</f>
        <v>8782</v>
      </c>
      <c r="X14" s="19">
        <f>7900</f>
        <v>7900</v>
      </c>
      <c r="Y14" s="19"/>
      <c r="Z14" s="19">
        <v>1086</v>
      </c>
      <c r="AA14" s="19"/>
      <c r="AB14" s="205"/>
    </row>
    <row r="15" spans="1:28" ht="15.5" x14ac:dyDescent="0.35">
      <c r="A15" s="209">
        <v>1984</v>
      </c>
      <c r="B15" s="19">
        <f>N15*0.25</f>
        <v>6721.75</v>
      </c>
      <c r="C15" s="19">
        <f t="shared" si="4"/>
        <v>31752</v>
      </c>
      <c r="D15" s="19">
        <f t="shared" si="5"/>
        <v>3290</v>
      </c>
      <c r="E15" s="19">
        <f t="shared" si="0"/>
        <v>413.18260869565216</v>
      </c>
      <c r="F15" s="19">
        <f t="shared" si="1"/>
        <v>1100.2597402597403</v>
      </c>
      <c r="G15" s="19">
        <f t="shared" ref="G15:G40" si="6">+X15*$G$9</f>
        <v>3552</v>
      </c>
      <c r="H15" s="19">
        <f t="shared" si="2"/>
        <v>300.34482758620692</v>
      </c>
      <c r="I15" s="19"/>
      <c r="K15" s="158">
        <f t="shared" si="3"/>
        <v>47129.537176541598</v>
      </c>
      <c r="N15" s="19">
        <v>26887</v>
      </c>
      <c r="P15" s="158">
        <v>31752</v>
      </c>
      <c r="R15" s="19">
        <v>3290</v>
      </c>
      <c r="S15" s="19"/>
      <c r="T15" s="19">
        <v>11879</v>
      </c>
      <c r="V15" s="19">
        <f>7060</f>
        <v>7060</v>
      </c>
      <c r="X15" s="19">
        <f>3792</f>
        <v>3792</v>
      </c>
      <c r="Y15" s="19"/>
      <c r="Z15" s="19">
        <v>1742</v>
      </c>
      <c r="AA15" s="19"/>
      <c r="AB15" s="205"/>
    </row>
    <row r="16" spans="1:28" ht="15.5" x14ac:dyDescent="0.35">
      <c r="A16" s="209">
        <v>1985</v>
      </c>
      <c r="B16" s="19">
        <f>N16*0.5</f>
        <v>12320.5</v>
      </c>
      <c r="C16" s="19">
        <f t="shared" si="4"/>
        <v>29692</v>
      </c>
      <c r="D16" s="19">
        <f t="shared" si="5"/>
        <v>2557</v>
      </c>
      <c r="E16" s="19">
        <f t="shared" si="0"/>
        <v>415.13043478260869</v>
      </c>
      <c r="F16" s="19">
        <f t="shared" si="1"/>
        <v>1333.7142857142858</v>
      </c>
      <c r="G16" s="19">
        <f t="shared" si="6"/>
        <v>888</v>
      </c>
      <c r="H16" s="19">
        <f t="shared" si="2"/>
        <v>250.00000000000003</v>
      </c>
      <c r="I16" s="19"/>
      <c r="K16" s="158">
        <f t="shared" si="3"/>
        <v>47456.344720496891</v>
      </c>
      <c r="N16" s="19">
        <v>24641</v>
      </c>
      <c r="P16" s="158">
        <v>29692</v>
      </c>
      <c r="R16" s="19">
        <v>2557</v>
      </c>
      <c r="S16" s="19"/>
      <c r="T16" s="19">
        <v>11935</v>
      </c>
      <c r="V16" s="19">
        <f>8558</f>
        <v>8558</v>
      </c>
      <c r="X16" s="19">
        <f>948</f>
        <v>948</v>
      </c>
      <c r="Y16" s="19"/>
      <c r="Z16" s="19">
        <v>1450</v>
      </c>
      <c r="AA16" s="19"/>
      <c r="AB16" s="205"/>
    </row>
    <row r="17" spans="1:28" ht="15.5" x14ac:dyDescent="0.35">
      <c r="A17" s="209">
        <v>1986</v>
      </c>
      <c r="B17" s="19">
        <f t="shared" ref="B17:B34" si="7">N17*0.25</f>
        <v>6619.5</v>
      </c>
      <c r="C17" s="19">
        <f t="shared" si="4"/>
        <v>23831</v>
      </c>
      <c r="D17" s="19">
        <f t="shared" si="5"/>
        <v>2145</v>
      </c>
      <c r="E17" s="19">
        <f t="shared" si="0"/>
        <v>342.29565217391303</v>
      </c>
      <c r="F17" s="19">
        <f t="shared" si="1"/>
        <v>1128.7792207792209</v>
      </c>
      <c r="G17" s="19">
        <f t="shared" si="6"/>
        <v>7696</v>
      </c>
      <c r="H17" s="19">
        <f t="shared" si="2"/>
        <v>250.00000000000003</v>
      </c>
      <c r="I17" s="19"/>
      <c r="K17" s="158">
        <f t="shared" si="3"/>
        <v>42012.574872953133</v>
      </c>
      <c r="N17" s="19">
        <v>26478</v>
      </c>
      <c r="P17" s="158">
        <v>23831</v>
      </c>
      <c r="R17" s="19">
        <v>2145</v>
      </c>
      <c r="S17" s="19"/>
      <c r="T17" s="19">
        <v>9841</v>
      </c>
      <c r="V17" s="19">
        <f>7243</f>
        <v>7243</v>
      </c>
      <c r="X17" s="19">
        <f>8216</f>
        <v>8216</v>
      </c>
      <c r="Y17" s="19"/>
      <c r="Z17" s="19">
        <v>1450</v>
      </c>
      <c r="AA17" s="19"/>
      <c r="AB17" s="205"/>
    </row>
    <row r="18" spans="1:28" ht="15.5" x14ac:dyDescent="0.35">
      <c r="A18" s="209">
        <v>1987</v>
      </c>
      <c r="B18" s="19">
        <f t="shared" si="7"/>
        <v>6379</v>
      </c>
      <c r="C18" s="19">
        <f t="shared" si="4"/>
        <v>23187</v>
      </c>
      <c r="D18" s="19">
        <f t="shared" si="5"/>
        <v>2211</v>
      </c>
      <c r="E18" s="19">
        <f t="shared" si="0"/>
        <v>380.69565217391306</v>
      </c>
      <c r="F18" s="19">
        <f t="shared" si="1"/>
        <v>1069.4025974025974</v>
      </c>
      <c r="G18" s="19">
        <f t="shared" si="6"/>
        <v>0</v>
      </c>
      <c r="H18" s="19">
        <f t="shared" si="2"/>
        <v>225.68965517241381</v>
      </c>
      <c r="I18" s="19"/>
      <c r="K18" s="158">
        <f t="shared" si="3"/>
        <v>33452.787904748926</v>
      </c>
      <c r="N18" s="19">
        <v>25516</v>
      </c>
      <c r="P18" s="158">
        <v>23187</v>
      </c>
      <c r="R18" s="19">
        <v>2211</v>
      </c>
      <c r="S18" s="19"/>
      <c r="T18" s="19">
        <v>10945</v>
      </c>
      <c r="V18" s="19">
        <f>6862</f>
        <v>6862</v>
      </c>
      <c r="X18" s="19">
        <f>0</f>
        <v>0</v>
      </c>
      <c r="Y18" s="19"/>
      <c r="Z18" s="19">
        <v>1309</v>
      </c>
      <c r="AA18" s="19"/>
      <c r="AB18" s="205"/>
    </row>
    <row r="19" spans="1:28" ht="15.5" x14ac:dyDescent="0.35">
      <c r="A19" s="209">
        <v>1988</v>
      </c>
      <c r="B19" s="19">
        <f t="shared" si="7"/>
        <v>4366.25</v>
      </c>
      <c r="C19" s="19">
        <f t="shared" si="4"/>
        <v>25335</v>
      </c>
      <c r="D19" s="19">
        <f t="shared" si="5"/>
        <v>3319</v>
      </c>
      <c r="E19" s="19">
        <f t="shared" si="0"/>
        <v>364.31304347826085</v>
      </c>
      <c r="F19" s="19">
        <f t="shared" si="1"/>
        <v>1207.9480519480519</v>
      </c>
      <c r="G19" s="19">
        <f t="shared" si="6"/>
        <v>0</v>
      </c>
      <c r="H19" s="19">
        <f t="shared" si="2"/>
        <v>196.89655172413794</v>
      </c>
      <c r="I19" s="19"/>
      <c r="K19" s="158">
        <f t="shared" si="3"/>
        <v>34789.407647150445</v>
      </c>
      <c r="N19" s="19">
        <v>17465</v>
      </c>
      <c r="P19" s="158">
        <v>25335</v>
      </c>
      <c r="R19" s="19">
        <v>3319</v>
      </c>
      <c r="S19" s="19"/>
      <c r="T19" s="19">
        <v>10474</v>
      </c>
      <c r="V19" s="19">
        <f>7751</f>
        <v>7751</v>
      </c>
      <c r="X19" s="19">
        <f>0</f>
        <v>0</v>
      </c>
      <c r="Y19" s="19"/>
      <c r="Z19" s="19">
        <v>1142</v>
      </c>
      <c r="AA19" s="19"/>
      <c r="AB19" s="205"/>
    </row>
    <row r="20" spans="1:28" ht="15.5" x14ac:dyDescent="0.35">
      <c r="A20" s="209">
        <v>1989</v>
      </c>
      <c r="B20" s="19">
        <f t="shared" si="7"/>
        <v>5913.5</v>
      </c>
      <c r="C20" s="19">
        <f t="shared" si="4"/>
        <v>32985</v>
      </c>
      <c r="D20" s="19">
        <f t="shared" si="5"/>
        <v>2129</v>
      </c>
      <c r="E20" s="19">
        <f t="shared" si="0"/>
        <v>374.64347826086959</v>
      </c>
      <c r="F20" s="19">
        <f t="shared" si="1"/>
        <v>914.33766233766232</v>
      </c>
      <c r="G20" s="19">
        <f t="shared" si="6"/>
        <v>0</v>
      </c>
      <c r="H20" s="19">
        <f t="shared" si="2"/>
        <v>223.79310344827587</v>
      </c>
      <c r="I20" s="19"/>
      <c r="K20" s="158">
        <f t="shared" si="3"/>
        <v>42540.274244046806</v>
      </c>
      <c r="N20" s="19">
        <v>23654</v>
      </c>
      <c r="P20" s="158">
        <v>32985</v>
      </c>
      <c r="R20" s="19">
        <v>2129</v>
      </c>
      <c r="S20" s="19"/>
      <c r="T20" s="19">
        <v>10771</v>
      </c>
      <c r="V20" s="19">
        <f>5867</f>
        <v>5867</v>
      </c>
      <c r="X20" s="19">
        <f>0</f>
        <v>0</v>
      </c>
      <c r="Y20" s="19"/>
      <c r="Z20" s="19">
        <v>1298</v>
      </c>
      <c r="AA20" s="19"/>
      <c r="AB20" s="205"/>
    </row>
    <row r="21" spans="1:28" ht="15.5" x14ac:dyDescent="0.35">
      <c r="A21" s="209">
        <v>1990</v>
      </c>
      <c r="B21" s="19">
        <f t="shared" si="7"/>
        <v>3575.75</v>
      </c>
      <c r="C21" s="19">
        <f t="shared" si="4"/>
        <v>18823</v>
      </c>
      <c r="D21" s="19">
        <f t="shared" si="5"/>
        <v>1673</v>
      </c>
      <c r="E21" s="19">
        <f t="shared" si="0"/>
        <v>283.5826086956522</v>
      </c>
      <c r="F21" s="19">
        <f t="shared" si="1"/>
        <v>983.06493506493507</v>
      </c>
      <c r="G21" s="19">
        <f t="shared" si="6"/>
        <v>0</v>
      </c>
      <c r="H21" s="19">
        <f t="shared" si="2"/>
        <v>197.24137931034485</v>
      </c>
      <c r="I21" s="19"/>
      <c r="K21" s="158">
        <f t="shared" si="3"/>
        <v>25535.638923070932</v>
      </c>
      <c r="N21" s="19">
        <v>14303</v>
      </c>
      <c r="P21" s="158">
        <v>18823</v>
      </c>
      <c r="R21" s="19">
        <v>1673</v>
      </c>
      <c r="S21" s="19"/>
      <c r="T21" s="19">
        <v>8153</v>
      </c>
      <c r="V21" s="19">
        <f>6308</f>
        <v>6308</v>
      </c>
      <c r="X21" s="19">
        <f>0</f>
        <v>0</v>
      </c>
      <c r="Y21" s="19"/>
      <c r="Z21" s="19">
        <v>1144</v>
      </c>
      <c r="AA21" s="19"/>
      <c r="AB21" s="205"/>
    </row>
    <row r="22" spans="1:28" ht="15.5" x14ac:dyDescent="0.35">
      <c r="A22" s="209">
        <v>1991</v>
      </c>
      <c r="B22" s="19">
        <f t="shared" si="7"/>
        <v>2020.75</v>
      </c>
      <c r="C22" s="19">
        <f t="shared" si="4"/>
        <v>9583</v>
      </c>
      <c r="D22" s="19">
        <f t="shared" si="5"/>
        <v>994</v>
      </c>
      <c r="E22" s="19">
        <f t="shared" si="0"/>
        <v>415.13043478260869</v>
      </c>
      <c r="F22" s="19">
        <f t="shared" si="1"/>
        <v>1122.8571428571429</v>
      </c>
      <c r="G22" s="19">
        <f t="shared" si="6"/>
        <v>0</v>
      </c>
      <c r="H22" s="19">
        <f t="shared" si="2"/>
        <v>216.89655172413794</v>
      </c>
      <c r="I22" s="19"/>
      <c r="K22" s="158">
        <f t="shared" si="3"/>
        <v>14352.634129363889</v>
      </c>
      <c r="N22" s="19">
        <v>8083</v>
      </c>
      <c r="P22" s="158">
        <v>9583</v>
      </c>
      <c r="R22" s="19">
        <v>994</v>
      </c>
      <c r="S22" s="19"/>
      <c r="T22" s="19">
        <v>11935</v>
      </c>
      <c r="V22" s="19">
        <f>7205</f>
        <v>7205</v>
      </c>
      <c r="X22" s="19">
        <f>0</f>
        <v>0</v>
      </c>
      <c r="Y22" s="19"/>
      <c r="Z22" s="19">
        <v>1258</v>
      </c>
      <c r="AA22" s="19"/>
      <c r="AB22" s="205"/>
    </row>
    <row r="23" spans="1:28" ht="15.5" x14ac:dyDescent="0.35">
      <c r="A23" s="209">
        <v>1992</v>
      </c>
      <c r="B23" s="19">
        <f t="shared" si="7"/>
        <v>1949.75</v>
      </c>
      <c r="C23" s="19">
        <f t="shared" si="4"/>
        <v>4830</v>
      </c>
      <c r="D23" s="19">
        <f t="shared" si="5"/>
        <v>573</v>
      </c>
      <c r="E23" s="19">
        <f t="shared" si="0"/>
        <v>330.29565217391303</v>
      </c>
      <c r="F23" s="19">
        <f t="shared" si="1"/>
        <v>1147.012987012987</v>
      </c>
      <c r="G23" s="19">
        <f t="shared" si="6"/>
        <v>0</v>
      </c>
      <c r="H23" s="19">
        <f t="shared" si="2"/>
        <v>240.68965517241381</v>
      </c>
      <c r="I23" s="19"/>
      <c r="K23" s="158">
        <f t="shared" si="3"/>
        <v>9070.7482943593131</v>
      </c>
      <c r="N23" s="19">
        <v>7799</v>
      </c>
      <c r="P23" s="158">
        <v>4830</v>
      </c>
      <c r="R23" s="19">
        <v>573</v>
      </c>
      <c r="S23" s="19"/>
      <c r="T23" s="19">
        <v>9496</v>
      </c>
      <c r="V23" s="19">
        <f>7360</f>
        <v>7360</v>
      </c>
      <c r="X23" s="19">
        <f>0</f>
        <v>0</v>
      </c>
      <c r="Y23" s="19"/>
      <c r="Z23" s="19">
        <v>1396</v>
      </c>
      <c r="AA23" s="19"/>
      <c r="AB23" s="205"/>
    </row>
    <row r="24" spans="1:28" ht="15.5" x14ac:dyDescent="0.35">
      <c r="A24" s="209">
        <v>1993</v>
      </c>
      <c r="B24" s="19">
        <f t="shared" si="7"/>
        <v>2605.25</v>
      </c>
      <c r="C24" s="19">
        <f t="shared" si="4"/>
        <v>12442</v>
      </c>
      <c r="D24" s="19">
        <f t="shared" si="5"/>
        <v>1260</v>
      </c>
      <c r="E24" s="19">
        <f t="shared" si="0"/>
        <v>394.50434782608698</v>
      </c>
      <c r="F24" s="19">
        <f t="shared" si="1"/>
        <v>991.48051948051943</v>
      </c>
      <c r="G24" s="19">
        <f t="shared" si="6"/>
        <v>6660</v>
      </c>
      <c r="H24" s="19">
        <f t="shared" si="2"/>
        <v>250.00000000000003</v>
      </c>
      <c r="I24" s="19"/>
      <c r="K24" s="158">
        <f t="shared" si="3"/>
        <v>24603.234867306608</v>
      </c>
      <c r="N24" s="19">
        <v>10421</v>
      </c>
      <c r="P24" s="158">
        <v>12442</v>
      </c>
      <c r="R24" s="19">
        <v>1260</v>
      </c>
      <c r="S24" s="19"/>
      <c r="T24" s="19">
        <v>11342</v>
      </c>
      <c r="V24" s="19">
        <f>6362</f>
        <v>6362</v>
      </c>
      <c r="X24" s="19">
        <f>7110</f>
        <v>7110</v>
      </c>
      <c r="Y24" s="19"/>
      <c r="Z24" s="19">
        <v>1450</v>
      </c>
      <c r="AA24" s="19"/>
      <c r="AB24" s="205"/>
    </row>
    <row r="25" spans="1:28" ht="15.5" x14ac:dyDescent="0.35">
      <c r="A25" s="209">
        <v>1994</v>
      </c>
      <c r="B25" s="19">
        <f t="shared" si="7"/>
        <v>2775.5</v>
      </c>
      <c r="C25" s="19">
        <f t="shared" si="4"/>
        <v>15393</v>
      </c>
      <c r="D25" s="19">
        <f t="shared" si="5"/>
        <v>1147</v>
      </c>
      <c r="E25" s="19">
        <f t="shared" si="0"/>
        <v>349.84347826086957</v>
      </c>
      <c r="F25" s="19">
        <f t="shared" si="1"/>
        <v>1115.5324675324675</v>
      </c>
      <c r="G25" s="19">
        <f t="shared" si="6"/>
        <v>0</v>
      </c>
      <c r="H25" s="19">
        <f t="shared" si="2"/>
        <v>200</v>
      </c>
      <c r="I25" s="19"/>
      <c r="K25" s="158">
        <f t="shared" si="3"/>
        <v>20980.875945793337</v>
      </c>
      <c r="N25" s="19">
        <v>11102</v>
      </c>
      <c r="P25" s="158">
        <v>15393</v>
      </c>
      <c r="R25" s="19">
        <v>1147</v>
      </c>
      <c r="S25" s="19"/>
      <c r="T25" s="19">
        <v>10058</v>
      </c>
      <c r="V25" s="19">
        <f>7158</f>
        <v>7158</v>
      </c>
      <c r="X25" s="19">
        <f>0</f>
        <v>0</v>
      </c>
      <c r="Y25" s="19"/>
      <c r="Z25" s="19">
        <v>1160</v>
      </c>
      <c r="AA25" s="19"/>
      <c r="AB25" s="205"/>
    </row>
    <row r="26" spans="1:28" ht="15.5" x14ac:dyDescent="0.35">
      <c r="A26" s="209">
        <v>1995</v>
      </c>
      <c r="B26" s="19">
        <f t="shared" si="7"/>
        <v>1843</v>
      </c>
      <c r="C26" s="19">
        <f t="shared" si="4"/>
        <v>13880</v>
      </c>
      <c r="D26" s="19">
        <f t="shared" si="5"/>
        <v>1276</v>
      </c>
      <c r="E26" s="19">
        <f t="shared" si="0"/>
        <v>301.21739130434781</v>
      </c>
      <c r="F26" s="19">
        <f t="shared" si="1"/>
        <v>779.06493506493507</v>
      </c>
      <c r="G26" s="19">
        <f t="shared" si="6"/>
        <v>6496.0759493670885</v>
      </c>
      <c r="H26" s="19">
        <f t="shared" si="2"/>
        <v>273.44827586206901</v>
      </c>
      <c r="I26" s="19"/>
      <c r="K26" s="158">
        <f t="shared" si="3"/>
        <v>24848.806551598442</v>
      </c>
      <c r="N26" s="19">
        <v>7372</v>
      </c>
      <c r="P26" s="158">
        <v>13880</v>
      </c>
      <c r="R26" s="19">
        <v>1276</v>
      </c>
      <c r="S26" s="19"/>
      <c r="T26" s="19">
        <v>8660</v>
      </c>
      <c r="V26" s="19">
        <f>4999</f>
        <v>4999</v>
      </c>
      <c r="X26" s="19">
        <f>6935</f>
        <v>6935</v>
      </c>
      <c r="Y26" s="19"/>
      <c r="Z26" s="19">
        <v>1586</v>
      </c>
      <c r="AA26" s="19"/>
      <c r="AB26" s="205"/>
    </row>
    <row r="27" spans="1:28" ht="15.5" x14ac:dyDescent="0.35">
      <c r="A27" s="209">
        <v>1996</v>
      </c>
      <c r="B27" s="19">
        <f t="shared" si="7"/>
        <v>1625.75</v>
      </c>
      <c r="C27" s="19">
        <f t="shared" si="4"/>
        <v>18989</v>
      </c>
      <c r="D27" s="19">
        <f t="shared" si="5"/>
        <v>1823</v>
      </c>
      <c r="E27" s="19">
        <f t="shared" si="0"/>
        <v>449.98260869565217</v>
      </c>
      <c r="F27" s="19">
        <f t="shared" si="1"/>
        <v>1284.3116883116884</v>
      </c>
      <c r="G27" s="19">
        <f t="shared" si="6"/>
        <v>5195.9240506329115</v>
      </c>
      <c r="H27" s="19">
        <f t="shared" si="2"/>
        <v>226.55172413793105</v>
      </c>
      <c r="I27" s="19"/>
      <c r="K27" s="158">
        <f t="shared" si="3"/>
        <v>29594.520071778185</v>
      </c>
      <c r="N27" s="19">
        <v>6503</v>
      </c>
      <c r="P27" s="158">
        <v>18989</v>
      </c>
      <c r="R27" s="19">
        <v>1823</v>
      </c>
      <c r="S27" s="19"/>
      <c r="T27" s="19">
        <v>12937</v>
      </c>
      <c r="V27" s="19">
        <f>8241</f>
        <v>8241</v>
      </c>
      <c r="X27" s="19">
        <f>5547</f>
        <v>5547</v>
      </c>
      <c r="Y27" s="19"/>
      <c r="Z27" s="19">
        <v>1314</v>
      </c>
      <c r="AA27" s="19"/>
      <c r="AB27" s="205"/>
    </row>
    <row r="28" spans="1:28" ht="15.5" x14ac:dyDescent="0.35">
      <c r="A28" s="209">
        <v>1997</v>
      </c>
      <c r="B28" s="19">
        <f t="shared" si="7"/>
        <v>6018</v>
      </c>
      <c r="C28" s="19">
        <f t="shared" si="4"/>
        <v>18091</v>
      </c>
      <c r="D28" s="19">
        <f t="shared" si="5"/>
        <v>1177</v>
      </c>
      <c r="E28" s="19">
        <f t="shared" si="0"/>
        <v>394.29565217391303</v>
      </c>
      <c r="F28" s="19">
        <f t="shared" si="1"/>
        <v>1160.4155844155844</v>
      </c>
      <c r="G28" s="19">
        <f t="shared" si="6"/>
        <v>2973.1139240506327</v>
      </c>
      <c r="H28" s="19">
        <f t="shared" si="2"/>
        <v>392.06896551724139</v>
      </c>
      <c r="I28" s="19"/>
      <c r="K28" s="158">
        <f t="shared" si="3"/>
        <v>30205.894126157375</v>
      </c>
      <c r="N28" s="19">
        <v>24072</v>
      </c>
      <c r="P28" s="158">
        <v>18091</v>
      </c>
      <c r="R28" s="19">
        <v>1177</v>
      </c>
      <c r="S28" s="19"/>
      <c r="T28" s="19">
        <v>11336</v>
      </c>
      <c r="V28" s="19">
        <f>7446</f>
        <v>7446</v>
      </c>
      <c r="X28" s="19">
        <f>3174</f>
        <v>3174</v>
      </c>
      <c r="Y28" s="19"/>
      <c r="Z28" s="19">
        <v>2274</v>
      </c>
      <c r="AA28" s="19"/>
      <c r="AB28" s="205"/>
    </row>
    <row r="29" spans="1:28" ht="15.5" x14ac:dyDescent="0.35">
      <c r="A29" s="209">
        <v>1998</v>
      </c>
      <c r="B29" s="19">
        <f t="shared" si="7"/>
        <v>3965.75</v>
      </c>
      <c r="C29" s="19">
        <f t="shared" si="4"/>
        <v>12750</v>
      </c>
      <c r="D29" s="19">
        <f t="shared" si="5"/>
        <v>762</v>
      </c>
      <c r="E29" s="19">
        <f t="shared" si="0"/>
        <v>358.22608695652173</v>
      </c>
      <c r="F29" s="19">
        <f t="shared" si="1"/>
        <v>1119.5844155844156</v>
      </c>
      <c r="G29" s="19">
        <f t="shared" si="6"/>
        <v>1016.3291139240506</v>
      </c>
      <c r="H29" s="19">
        <f t="shared" si="2"/>
        <v>92.758620689655174</v>
      </c>
      <c r="I29" s="19"/>
      <c r="K29" s="158">
        <f t="shared" si="3"/>
        <v>20064.648237154644</v>
      </c>
      <c r="N29" s="19">
        <v>15863</v>
      </c>
      <c r="P29" s="158">
        <v>12750</v>
      </c>
      <c r="R29" s="19">
        <v>762</v>
      </c>
      <c r="S29" s="19"/>
      <c r="T29" s="19">
        <v>10299</v>
      </c>
      <c r="V29" s="19">
        <f>7184</f>
        <v>7184</v>
      </c>
      <c r="X29" s="19">
        <f>1085</f>
        <v>1085</v>
      </c>
      <c r="Y29" s="19"/>
      <c r="Z29" s="19">
        <v>538</v>
      </c>
      <c r="AA29" s="19"/>
      <c r="AB29" s="205"/>
    </row>
    <row r="30" spans="1:28" ht="15.5" x14ac:dyDescent="0.35">
      <c r="A30" s="209">
        <v>1999</v>
      </c>
      <c r="B30" s="19">
        <f t="shared" si="7"/>
        <v>4193.5</v>
      </c>
      <c r="C30" s="19">
        <f t="shared" si="4"/>
        <v>17611</v>
      </c>
      <c r="D30" s="19">
        <f t="shared" si="5"/>
        <v>1072</v>
      </c>
      <c r="E30" s="19">
        <f t="shared" si="0"/>
        <v>409.53043478260872</v>
      </c>
      <c r="F30" s="19">
        <f t="shared" si="1"/>
        <v>1435.168831168831</v>
      </c>
      <c r="G30" s="19">
        <f t="shared" si="6"/>
        <v>1480</v>
      </c>
      <c r="H30" s="19">
        <f t="shared" si="2"/>
        <v>242.75862068965517</v>
      </c>
      <c r="I30" s="19"/>
      <c r="K30" s="158">
        <f t="shared" si="3"/>
        <v>26443.957886641096</v>
      </c>
      <c r="N30" s="19">
        <v>16774</v>
      </c>
      <c r="P30" s="158">
        <v>17611</v>
      </c>
      <c r="R30" s="19">
        <v>1072</v>
      </c>
      <c r="S30" s="19"/>
      <c r="T30" s="19">
        <v>11774</v>
      </c>
      <c r="V30" s="19">
        <f>9209</f>
        <v>9209</v>
      </c>
      <c r="X30" s="19">
        <f>1580</f>
        <v>1580</v>
      </c>
      <c r="Y30" s="19"/>
      <c r="Z30" s="19">
        <v>1408</v>
      </c>
      <c r="AA30" s="19"/>
      <c r="AB30" s="205"/>
    </row>
    <row r="31" spans="1:28" ht="15.5" x14ac:dyDescent="0.35">
      <c r="A31" s="209">
        <v>2000</v>
      </c>
      <c r="B31" s="19">
        <f t="shared" si="7"/>
        <v>2980</v>
      </c>
      <c r="C31" s="19">
        <f t="shared" si="4"/>
        <v>18215</v>
      </c>
      <c r="D31" s="19">
        <f t="shared" si="5"/>
        <v>2493</v>
      </c>
      <c r="E31" s="19">
        <f t="shared" si="0"/>
        <v>425.91304347826087</v>
      </c>
      <c r="F31" s="19">
        <f t="shared" si="1"/>
        <v>1051.4805194805194</v>
      </c>
      <c r="G31" s="19">
        <f t="shared" si="6"/>
        <v>1796.6075949367089</v>
      </c>
      <c r="H31" s="19">
        <f t="shared" si="2"/>
        <v>30.000000000000004</v>
      </c>
      <c r="I31" s="19"/>
      <c r="K31" s="158">
        <f t="shared" si="3"/>
        <v>26992.001157895487</v>
      </c>
      <c r="N31" s="19">
        <v>11920</v>
      </c>
      <c r="P31" s="158">
        <v>18215</v>
      </c>
      <c r="R31" s="19">
        <v>2493</v>
      </c>
      <c r="S31" s="19"/>
      <c r="T31" s="19">
        <v>12245</v>
      </c>
      <c r="V31" s="19">
        <f>6747</f>
        <v>6747</v>
      </c>
      <c r="X31" s="19">
        <f>1918</f>
        <v>1918</v>
      </c>
      <c r="Y31" s="19"/>
      <c r="Z31" s="19">
        <v>174</v>
      </c>
      <c r="AA31" s="19"/>
      <c r="AB31" s="205"/>
    </row>
    <row r="32" spans="1:28" ht="15.5" x14ac:dyDescent="0.35">
      <c r="A32" s="210" t="s">
        <v>61</v>
      </c>
      <c r="B32" s="19">
        <f t="shared" si="7"/>
        <v>2337.25</v>
      </c>
      <c r="C32" s="19">
        <f t="shared" si="4"/>
        <v>15622</v>
      </c>
      <c r="D32" s="19">
        <f t="shared" si="5"/>
        <v>1218</v>
      </c>
      <c r="E32" s="19">
        <f t="shared" si="0"/>
        <v>423.30434782608694</v>
      </c>
      <c r="F32" s="19">
        <f t="shared" si="1"/>
        <v>1237.2467532467533</v>
      </c>
      <c r="G32" s="19">
        <f t="shared" si="6"/>
        <v>370</v>
      </c>
      <c r="H32" s="19">
        <f t="shared" si="2"/>
        <v>0</v>
      </c>
      <c r="I32" s="19"/>
      <c r="K32" s="158">
        <f t="shared" si="3"/>
        <v>21207.801101072841</v>
      </c>
      <c r="N32" s="19">
        <v>9349</v>
      </c>
      <c r="P32" s="158">
        <v>15622</v>
      </c>
      <c r="R32" s="19">
        <v>1218</v>
      </c>
      <c r="S32" s="19"/>
      <c r="T32" s="19">
        <v>12170</v>
      </c>
      <c r="V32" s="19">
        <f>7939</f>
        <v>7939</v>
      </c>
      <c r="X32" s="19">
        <f>395</f>
        <v>395</v>
      </c>
      <c r="Y32" s="19"/>
      <c r="Z32" s="19">
        <v>0</v>
      </c>
      <c r="AA32" s="19"/>
      <c r="AB32" s="205"/>
    </row>
    <row r="33" spans="1:28" ht="15.5" x14ac:dyDescent="0.35">
      <c r="A33" s="210" t="s">
        <v>62</v>
      </c>
      <c r="B33" s="19">
        <f t="shared" si="7"/>
        <v>4315.5</v>
      </c>
      <c r="C33" s="19">
        <f t="shared" si="4"/>
        <v>17776</v>
      </c>
      <c r="D33" s="19">
        <f t="shared" si="5"/>
        <v>1656</v>
      </c>
      <c r="E33" s="19">
        <f t="shared" si="0"/>
        <v>376.1391304347826</v>
      </c>
      <c r="F33" s="19">
        <f t="shared" si="1"/>
        <v>1227.1168831168832</v>
      </c>
      <c r="G33" s="19">
        <f t="shared" si="6"/>
        <v>676.30379746835445</v>
      </c>
      <c r="H33" s="19">
        <f t="shared" si="2"/>
        <v>0</v>
      </c>
      <c r="I33" s="19"/>
      <c r="K33" s="158">
        <f t="shared" si="3"/>
        <v>26027.059811020019</v>
      </c>
      <c r="N33" s="19">
        <v>17262</v>
      </c>
      <c r="P33" s="158">
        <v>17776</v>
      </c>
      <c r="R33" s="19">
        <v>1656</v>
      </c>
      <c r="S33" s="19"/>
      <c r="T33" s="19">
        <v>10814</v>
      </c>
      <c r="V33" s="19">
        <f>7874</f>
        <v>7874</v>
      </c>
      <c r="X33" s="19">
        <f>722</f>
        <v>722</v>
      </c>
      <c r="Y33" s="19"/>
      <c r="Z33" s="19">
        <v>0</v>
      </c>
      <c r="AA33" s="19"/>
      <c r="AB33" s="205"/>
    </row>
    <row r="34" spans="1:28" ht="15.5" x14ac:dyDescent="0.35">
      <c r="A34" s="210" t="s">
        <v>63</v>
      </c>
      <c r="B34" s="19">
        <f t="shared" si="7"/>
        <v>5813</v>
      </c>
      <c r="C34" s="19">
        <f t="shared" si="4"/>
        <v>19633</v>
      </c>
      <c r="D34" s="19">
        <f t="shared" si="5"/>
        <v>1875</v>
      </c>
      <c r="E34" s="19">
        <f t="shared" si="0"/>
        <v>376.93913043478261</v>
      </c>
      <c r="F34" s="19">
        <f t="shared" si="1"/>
        <v>1236</v>
      </c>
      <c r="G34" s="19">
        <f t="shared" si="6"/>
        <v>3912.6329113924048</v>
      </c>
      <c r="H34" s="19">
        <f t="shared" si="2"/>
        <v>0</v>
      </c>
      <c r="I34" s="19"/>
      <c r="K34" s="158">
        <f t="shared" si="3"/>
        <v>32846.572041827189</v>
      </c>
      <c r="N34" s="19">
        <v>23252</v>
      </c>
      <c r="P34" s="158">
        <v>19633</v>
      </c>
      <c r="R34" s="19">
        <v>1875</v>
      </c>
      <c r="S34" s="19"/>
      <c r="T34" s="19">
        <v>10837</v>
      </c>
      <c r="V34" s="19">
        <f>7931</f>
        <v>7931</v>
      </c>
      <c r="X34" s="19">
        <f>4177</f>
        <v>4177</v>
      </c>
      <c r="Y34" s="19"/>
      <c r="Z34" s="19">
        <v>0</v>
      </c>
      <c r="AA34" s="19"/>
      <c r="AB34" s="205"/>
    </row>
    <row r="35" spans="1:28" ht="15.5" x14ac:dyDescent="0.35">
      <c r="A35" s="209" t="s">
        <v>64</v>
      </c>
      <c r="B35" s="19"/>
      <c r="C35" s="19">
        <f t="shared" si="4"/>
        <v>21663</v>
      </c>
      <c r="D35" s="19">
        <f t="shared" si="5"/>
        <v>1750</v>
      </c>
      <c r="E35" s="19">
        <f t="shared" si="0"/>
        <v>381.18260869565216</v>
      </c>
      <c r="F35" s="19">
        <f t="shared" si="1"/>
        <v>1077.9740259740261</v>
      </c>
      <c r="G35" s="19">
        <f t="shared" si="6"/>
        <v>592</v>
      </c>
      <c r="H35" s="19">
        <f t="shared" si="2"/>
        <v>676.89655172413802</v>
      </c>
      <c r="I35" s="19"/>
      <c r="K35" s="158">
        <f t="shared" si="3"/>
        <v>26141.053186393816</v>
      </c>
      <c r="N35" s="19"/>
      <c r="P35" s="158">
        <v>21663</v>
      </c>
      <c r="R35" s="19">
        <v>1750</v>
      </c>
      <c r="S35" s="19"/>
      <c r="T35" s="19">
        <v>10959</v>
      </c>
      <c r="V35" s="19">
        <f>6917</f>
        <v>6917</v>
      </c>
      <c r="X35" s="19">
        <f>632</f>
        <v>632</v>
      </c>
      <c r="Y35" s="19"/>
      <c r="Z35" s="19">
        <v>3926</v>
      </c>
      <c r="AA35" s="19"/>
      <c r="AB35" s="205"/>
    </row>
    <row r="36" spans="1:28" ht="15.5" x14ac:dyDescent="0.35">
      <c r="A36" s="209" t="s">
        <v>65</v>
      </c>
      <c r="B36" s="19"/>
      <c r="C36" s="19">
        <f t="shared" si="4"/>
        <v>26150</v>
      </c>
      <c r="D36" s="19"/>
      <c r="E36" s="19">
        <f t="shared" si="0"/>
        <v>484.2782608695652</v>
      </c>
      <c r="F36" s="19">
        <f t="shared" si="1"/>
        <v>1515.4285714285713</v>
      </c>
      <c r="G36" s="19">
        <f t="shared" si="6"/>
        <v>3506.1012658227846</v>
      </c>
      <c r="H36" s="19">
        <f t="shared" si="2"/>
        <v>99.827586206896555</v>
      </c>
      <c r="I36" s="19"/>
      <c r="K36" s="158">
        <f t="shared" si="3"/>
        <v>31755.635684327815</v>
      </c>
      <c r="P36" s="158">
        <v>26150</v>
      </c>
      <c r="T36" s="19">
        <v>13923</v>
      </c>
      <c r="V36" s="19">
        <f>9724</f>
        <v>9724</v>
      </c>
      <c r="X36" s="19">
        <f>3743</f>
        <v>3743</v>
      </c>
      <c r="Y36" s="19"/>
      <c r="Z36" s="19">
        <v>579</v>
      </c>
      <c r="AA36" s="19"/>
      <c r="AB36" s="206"/>
    </row>
    <row r="37" spans="1:28" ht="15.5" x14ac:dyDescent="0.35">
      <c r="A37" s="209" t="s">
        <v>66</v>
      </c>
      <c r="B37" s="19"/>
      <c r="C37" s="126">
        <f t="shared" si="4"/>
        <v>-78</v>
      </c>
      <c r="D37" s="19"/>
      <c r="E37" s="19">
        <f t="shared" si="0"/>
        <v>260.93913043478261</v>
      </c>
      <c r="F37" s="19">
        <f t="shared" si="1"/>
        <v>794.49350649350652</v>
      </c>
      <c r="G37" s="19">
        <f t="shared" si="6"/>
        <v>4142.1265822784808</v>
      </c>
      <c r="H37" s="19">
        <f t="shared" si="2"/>
        <v>467.93103448275866</v>
      </c>
      <c r="I37" s="19"/>
      <c r="K37" s="158">
        <f t="shared" si="3"/>
        <v>5587.4902536895288</v>
      </c>
      <c r="P37" s="158">
        <v>-78</v>
      </c>
      <c r="T37" s="19">
        <v>7502</v>
      </c>
      <c r="V37" s="19">
        <f>5098</f>
        <v>5098</v>
      </c>
      <c r="X37" s="19">
        <f>4422</f>
        <v>4422</v>
      </c>
      <c r="Y37" s="19"/>
      <c r="Z37" s="19">
        <v>2714</v>
      </c>
      <c r="AA37" s="19"/>
      <c r="AB37" s="205"/>
    </row>
    <row r="38" spans="1:28" ht="15.5" x14ac:dyDescent="0.35">
      <c r="A38" s="209" t="s">
        <v>67</v>
      </c>
      <c r="B38" s="19"/>
      <c r="C38" s="19"/>
      <c r="D38" s="19"/>
      <c r="E38" s="19">
        <f t="shared" si="0"/>
        <v>309.56521739130437</v>
      </c>
      <c r="F38" s="19">
        <f t="shared" si="1"/>
        <v>1086.2337662337661</v>
      </c>
      <c r="G38" s="19">
        <f t="shared" si="6"/>
        <v>0</v>
      </c>
      <c r="H38" s="19">
        <f t="shared" si="2"/>
        <v>82.758620689655174</v>
      </c>
      <c r="I38" s="19"/>
      <c r="K38" s="158">
        <f t="shared" si="3"/>
        <v>1478.5576043147255</v>
      </c>
      <c r="T38" s="19">
        <v>8900</v>
      </c>
      <c r="V38" s="19">
        <f>6970</f>
        <v>6970</v>
      </c>
      <c r="X38" s="19">
        <v>0</v>
      </c>
      <c r="Y38" s="19"/>
      <c r="Z38" s="19">
        <v>480</v>
      </c>
      <c r="AA38" s="19"/>
      <c r="AB38" s="205"/>
    </row>
    <row r="39" spans="1:28" ht="15.5" x14ac:dyDescent="0.35">
      <c r="A39" s="209" t="s">
        <v>68</v>
      </c>
      <c r="B39" s="19"/>
      <c r="C39" s="19"/>
      <c r="D39" s="19"/>
      <c r="E39" s="19">
        <f t="shared" si="0"/>
        <v>342.67826086956524</v>
      </c>
      <c r="F39" s="19">
        <f t="shared" si="1"/>
        <v>938.33766233766232</v>
      </c>
      <c r="G39" s="19">
        <f t="shared" si="6"/>
        <v>370</v>
      </c>
      <c r="H39" s="19">
        <f t="shared" si="2"/>
        <v>151.55172413793105</v>
      </c>
      <c r="I39" s="19"/>
      <c r="K39" s="158">
        <f t="shared" si="3"/>
        <v>1802.5676473451585</v>
      </c>
      <c r="T39" s="19">
        <v>9852</v>
      </c>
      <c r="V39" s="19">
        <f>6021</f>
        <v>6021</v>
      </c>
      <c r="X39" s="19">
        <f>395</f>
        <v>395</v>
      </c>
      <c r="Y39" s="19"/>
      <c r="Z39" s="19">
        <v>879</v>
      </c>
      <c r="AA39" s="19"/>
      <c r="AB39" s="205"/>
    </row>
    <row r="40" spans="1:28" ht="15.5" x14ac:dyDescent="0.35">
      <c r="A40" s="209" t="s">
        <v>69</v>
      </c>
      <c r="B40" s="19"/>
      <c r="C40" s="19"/>
      <c r="D40" s="19"/>
      <c r="E40" s="19">
        <f t="shared" si="0"/>
        <v>473.25217391304346</v>
      </c>
      <c r="F40" s="19">
        <f t="shared" si="1"/>
        <v>1101.5064935064934</v>
      </c>
      <c r="G40" s="19">
        <f t="shared" si="6"/>
        <v>582.63291139240505</v>
      </c>
      <c r="H40" s="19">
        <f t="shared" si="2"/>
        <v>192.58620689655174</v>
      </c>
      <c r="I40" s="19"/>
      <c r="K40" s="158">
        <f t="shared" si="3"/>
        <v>2349.9777857084937</v>
      </c>
      <c r="T40" s="19">
        <v>13606</v>
      </c>
      <c r="V40" s="19">
        <v>7068</v>
      </c>
      <c r="X40" s="19">
        <v>622</v>
      </c>
      <c r="Y40" s="19"/>
      <c r="Z40" s="19">
        <v>1117</v>
      </c>
      <c r="AA40" s="19"/>
      <c r="AB40" s="205"/>
    </row>
    <row r="41" spans="1:28" ht="15.5" x14ac:dyDescent="0.35">
      <c r="A41" s="209" t="s">
        <v>70</v>
      </c>
      <c r="B41" s="19"/>
      <c r="C41" s="19"/>
      <c r="D41" s="19"/>
      <c r="E41" s="19">
        <f t="shared" si="0"/>
        <v>271.82608695652175</v>
      </c>
      <c r="F41" s="19"/>
      <c r="G41" s="19"/>
      <c r="H41" s="19">
        <f t="shared" si="2"/>
        <v>341.20689655172418</v>
      </c>
      <c r="I41" s="19"/>
      <c r="K41" s="158">
        <f t="shared" si="3"/>
        <v>613.03298350824593</v>
      </c>
      <c r="T41" s="19">
        <v>7815</v>
      </c>
      <c r="V41" s="19"/>
      <c r="X41" s="19"/>
      <c r="Y41" s="19"/>
      <c r="Z41" s="19">
        <v>1979</v>
      </c>
      <c r="AA41" s="19"/>
      <c r="AB41" s="205"/>
    </row>
    <row r="42" spans="1:28" ht="15.5" x14ac:dyDescent="0.35">
      <c r="A42" s="209" t="s">
        <v>71</v>
      </c>
      <c r="B42" s="19"/>
      <c r="C42" s="19"/>
      <c r="D42" s="19"/>
      <c r="E42" s="19">
        <f t="shared" si="0"/>
        <v>428.90434782608696</v>
      </c>
      <c r="F42" s="19"/>
      <c r="G42" s="19"/>
      <c r="H42" s="19">
        <f t="shared" si="2"/>
        <v>215.00000000000003</v>
      </c>
      <c r="I42" s="19"/>
      <c r="K42" s="158">
        <f t="shared" si="3"/>
        <v>643.90434782608702</v>
      </c>
      <c r="T42" s="19">
        <v>12331</v>
      </c>
      <c r="V42" s="19"/>
      <c r="X42" s="19"/>
      <c r="Y42" s="19"/>
      <c r="Z42" s="19">
        <v>1247</v>
      </c>
      <c r="AA42" s="19"/>
      <c r="AB42" s="205"/>
    </row>
    <row r="43" spans="1:28" ht="15.5" x14ac:dyDescent="0.35">
      <c r="A43" s="209" t="s">
        <v>72</v>
      </c>
      <c r="B43" s="19"/>
      <c r="C43" s="19"/>
      <c r="D43" s="19"/>
      <c r="E43" s="19">
        <f t="shared" si="0"/>
        <v>272.10434782608695</v>
      </c>
      <c r="F43" s="19"/>
      <c r="G43" s="19"/>
      <c r="H43" s="19">
        <f t="shared" si="2"/>
        <v>93.275862068965523</v>
      </c>
      <c r="I43" s="19"/>
      <c r="K43" s="158">
        <f t="shared" si="3"/>
        <v>365.38020989505247</v>
      </c>
      <c r="T43" s="19">
        <v>7823</v>
      </c>
      <c r="V43" s="19"/>
      <c r="X43" s="19"/>
      <c r="Y43" s="19"/>
      <c r="Z43" s="19">
        <v>541</v>
      </c>
      <c r="AA43" s="19"/>
      <c r="AB43" s="205"/>
    </row>
    <row r="44" spans="1:28" ht="16" thickBot="1" x14ac:dyDescent="0.4">
      <c r="A44" s="209" t="s">
        <v>73</v>
      </c>
      <c r="B44" s="19"/>
      <c r="C44" s="19"/>
      <c r="D44" s="19"/>
      <c r="E44" s="19">
        <f t="shared" si="0"/>
        <v>278.92173913043479</v>
      </c>
      <c r="F44" s="19"/>
      <c r="G44" s="19"/>
      <c r="H44" s="19">
        <f t="shared" si="2"/>
        <v>129.48275862068965</v>
      </c>
      <c r="I44" s="19"/>
      <c r="K44" s="158">
        <f t="shared" si="3"/>
        <v>408.40449775112444</v>
      </c>
      <c r="T44" s="19">
        <v>8019</v>
      </c>
      <c r="Z44" s="19">
        <v>751</v>
      </c>
    </row>
    <row r="45" spans="1:28" ht="16" hidden="1" thickBot="1" x14ac:dyDescent="0.4">
      <c r="A45" s="209"/>
      <c r="B45" s="19"/>
      <c r="C45" s="19"/>
      <c r="D45" s="19"/>
      <c r="E45" s="19"/>
      <c r="F45" s="19"/>
      <c r="G45" s="19"/>
      <c r="H45" s="19"/>
      <c r="I45" s="19"/>
    </row>
    <row r="46" spans="1:28" ht="16" hidden="1" thickBot="1" x14ac:dyDescent="0.4">
      <c r="A46" s="209"/>
      <c r="B46" s="19"/>
      <c r="C46" s="19"/>
      <c r="D46" s="19"/>
      <c r="E46" s="19"/>
      <c r="F46" s="19"/>
      <c r="G46" s="19"/>
      <c r="H46" s="19"/>
      <c r="I46" s="19"/>
    </row>
    <row r="47" spans="1:28" ht="16" hidden="1" thickBot="1" x14ac:dyDescent="0.4">
      <c r="A47" s="209"/>
      <c r="B47" s="19"/>
      <c r="C47" s="19"/>
      <c r="D47" s="19"/>
      <c r="E47" s="19"/>
      <c r="F47" s="19"/>
      <c r="G47" s="19"/>
      <c r="H47" s="19"/>
      <c r="I47" s="19"/>
    </row>
    <row r="48" spans="1:28" ht="16" hidden="1" thickBot="1" x14ac:dyDescent="0.4">
      <c r="A48" s="209"/>
      <c r="B48" s="19"/>
      <c r="C48" s="19"/>
      <c r="D48" s="19"/>
      <c r="E48" s="19"/>
      <c r="F48" s="19"/>
      <c r="G48" s="19"/>
      <c r="H48" s="19"/>
      <c r="I48" s="19"/>
    </row>
    <row r="49" spans="1:11" ht="16" hidden="1" thickBot="1" x14ac:dyDescent="0.4">
      <c r="A49" s="209"/>
      <c r="B49" s="19"/>
      <c r="C49" s="19"/>
      <c r="D49" s="19"/>
      <c r="E49" s="19"/>
      <c r="F49" s="19"/>
      <c r="G49" s="19"/>
      <c r="H49" s="19"/>
      <c r="I49" s="19"/>
    </row>
    <row r="50" spans="1:11" ht="16" hidden="1" thickBot="1" x14ac:dyDescent="0.4">
      <c r="A50" s="209"/>
      <c r="B50" s="19"/>
      <c r="C50" s="19"/>
      <c r="D50" s="19"/>
      <c r="E50" s="19"/>
      <c r="F50" s="19"/>
      <c r="G50" s="19"/>
      <c r="H50" s="19"/>
      <c r="I50" s="19"/>
    </row>
    <row r="51" spans="1:11" ht="16" hidden="1" thickBot="1" x14ac:dyDescent="0.4">
      <c r="A51" s="209"/>
      <c r="B51" s="19"/>
      <c r="C51" s="19"/>
      <c r="D51" s="19"/>
      <c r="E51" s="19"/>
      <c r="F51" s="19"/>
      <c r="G51" s="19"/>
      <c r="H51" s="19"/>
      <c r="I51" s="19"/>
    </row>
    <row r="52" spans="1:11" ht="16" hidden="1" thickBot="1" x14ac:dyDescent="0.4">
      <c r="A52" s="209"/>
      <c r="B52" s="19"/>
      <c r="C52" s="19"/>
      <c r="D52" s="19"/>
      <c r="E52" s="19"/>
      <c r="F52" s="19"/>
      <c r="G52" s="19"/>
      <c r="H52" s="19"/>
      <c r="I52" s="19"/>
    </row>
    <row r="53" spans="1:11" ht="16" hidden="1" thickBot="1" x14ac:dyDescent="0.4">
      <c r="A53" s="209"/>
      <c r="B53" s="19"/>
      <c r="C53" s="19"/>
      <c r="D53" s="19"/>
      <c r="E53" s="19"/>
      <c r="F53" s="19"/>
      <c r="G53" s="19"/>
      <c r="H53" s="19"/>
      <c r="I53" s="19"/>
    </row>
    <row r="54" spans="1:11" ht="16" hidden="1" thickBot="1" x14ac:dyDescent="0.4">
      <c r="A54" s="209"/>
      <c r="B54" s="19"/>
      <c r="C54" s="19"/>
      <c r="D54" s="19"/>
      <c r="E54" s="19"/>
      <c r="F54" s="19"/>
      <c r="G54" s="19"/>
      <c r="H54" s="19"/>
      <c r="I54" s="19"/>
    </row>
    <row r="55" spans="1:11" ht="16" hidden="1" thickBot="1" x14ac:dyDescent="0.4">
      <c r="A55" s="209"/>
      <c r="B55" s="19"/>
      <c r="C55" s="19"/>
      <c r="D55" s="19"/>
      <c r="E55" s="19"/>
      <c r="F55" s="19"/>
      <c r="G55" s="19"/>
      <c r="H55" s="19"/>
      <c r="I55" s="19"/>
    </row>
    <row r="56" spans="1:11" ht="16" hidden="1" thickBot="1" x14ac:dyDescent="0.4">
      <c r="A56" s="209"/>
      <c r="B56" s="19"/>
      <c r="C56" s="19"/>
      <c r="D56" s="19"/>
      <c r="E56" s="19"/>
      <c r="F56" s="19"/>
      <c r="G56" s="19"/>
      <c r="H56" s="19"/>
      <c r="I56" s="19"/>
    </row>
    <row r="57" spans="1:11" ht="16" hidden="1" thickBot="1" x14ac:dyDescent="0.4">
      <c r="A57" s="209"/>
      <c r="B57" s="19"/>
      <c r="C57" s="19"/>
      <c r="D57" s="19"/>
      <c r="E57" s="19"/>
      <c r="F57" s="19"/>
      <c r="G57" s="19"/>
      <c r="H57" s="19"/>
      <c r="I57" s="19"/>
    </row>
    <row r="58" spans="1:11" ht="16" hidden="1" thickBot="1" x14ac:dyDescent="0.4">
      <c r="A58" s="209"/>
      <c r="B58" s="19"/>
      <c r="C58" s="19"/>
      <c r="D58" s="19"/>
      <c r="E58" s="19"/>
      <c r="F58" s="19"/>
      <c r="G58" s="19"/>
      <c r="H58" s="19"/>
      <c r="I58" s="19"/>
    </row>
    <row r="59" spans="1:11" ht="16" hidden="1" thickBot="1" x14ac:dyDescent="0.4">
      <c r="A59" s="209"/>
      <c r="B59" s="19"/>
      <c r="C59" s="19"/>
      <c r="D59" s="19"/>
      <c r="E59" s="19"/>
      <c r="F59" s="19"/>
      <c r="G59" s="19"/>
      <c r="H59" s="19"/>
      <c r="I59" s="19"/>
    </row>
    <row r="60" spans="1:11" ht="16" hidden="1" thickBot="1" x14ac:dyDescent="0.4">
      <c r="A60" s="209"/>
      <c r="B60" s="19"/>
      <c r="C60" s="19"/>
      <c r="D60" s="19"/>
      <c r="E60" s="19"/>
      <c r="F60" s="19"/>
      <c r="G60" s="19"/>
      <c r="H60" s="19"/>
      <c r="I60" s="19"/>
    </row>
    <row r="61" spans="1:11" ht="16" hidden="1" thickBot="1" x14ac:dyDescent="0.4">
      <c r="A61" s="209"/>
      <c r="B61" s="19"/>
      <c r="C61" s="19"/>
      <c r="D61" s="19"/>
      <c r="E61" s="19"/>
      <c r="F61" s="19"/>
      <c r="G61" s="19"/>
      <c r="H61" s="19"/>
      <c r="I61" s="19"/>
      <c r="K61" s="158" t="s">
        <v>346</v>
      </c>
    </row>
    <row r="62" spans="1:11" ht="24" customHeight="1" x14ac:dyDescent="0.35">
      <c r="A62" s="209" t="s">
        <v>347</v>
      </c>
      <c r="B62" s="27">
        <f t="shared" ref="B62:H62" si="8">SUM(B12:B61)</f>
        <v>102856.75</v>
      </c>
      <c r="C62" s="27">
        <f t="shared" si="8"/>
        <v>503647</v>
      </c>
      <c r="D62" s="27">
        <f t="shared" si="8"/>
        <v>44302</v>
      </c>
      <c r="E62" s="27">
        <f t="shared" si="8"/>
        <v>12274.121739130436</v>
      </c>
      <c r="F62" s="27">
        <f t="shared" si="8"/>
        <v>33275.064935064933</v>
      </c>
      <c r="G62" s="27">
        <f t="shared" si="8"/>
        <v>67593.848101265816</v>
      </c>
      <c r="H62" s="27">
        <f t="shared" si="8"/>
        <v>6957.2413793103451</v>
      </c>
      <c r="I62" s="19"/>
      <c r="K62" s="27">
        <f>SUM(K12:K61)</f>
        <v>770906.02615477156</v>
      </c>
    </row>
    <row r="64" spans="1:11" ht="15.5" x14ac:dyDescent="0.35">
      <c r="A64" s="227"/>
    </row>
    <row r="65" ht="15.5" x14ac:dyDescent="0.35"/>
    <row r="66" ht="20.149999999999999" hidden="1" customHeight="1" x14ac:dyDescent="0.35"/>
  </sheetData>
  <printOptions horizontalCentered="1"/>
  <pageMargins left="0.25" right="0.25" top="0.5" bottom="0.5" header="0.3" footer="0.3"/>
  <pageSetup scale="50" orientation="landscape" r:id="rId1"/>
  <headerFooter>
    <oddFooter>&amp;RSchedule A-13
Page &amp;P of &amp;N</oddFooter>
  </headerFooter>
  <colBreaks count="1" manualBreakCount="1">
    <brk id="9" max="1048575" man="1"/>
  </colBreaks>
  <legacyDrawing r:id="rId2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FFC889-2D52-487D-99B1-BA0DF18A6160}">
  <sheetPr codeName="Sheet36">
    <tabColor theme="5" tint="-0.249977111117893"/>
    <pageSetUpPr fitToPage="1"/>
  </sheetPr>
  <dimension ref="A1:K58"/>
  <sheetViews>
    <sheetView zoomScaleNormal="100" zoomScaleSheetLayoutView="100" workbookViewId="0">
      <selection activeCell="H26" sqref="H26"/>
    </sheetView>
  </sheetViews>
  <sheetFormatPr defaultColWidth="9" defaultRowHeight="20.149999999999999" customHeight="1" x14ac:dyDescent="0.35"/>
  <cols>
    <col min="1" max="1" width="40.58203125" style="28" customWidth="1"/>
    <col min="2" max="5" width="22.33203125" style="207" customWidth="1"/>
    <col min="6" max="8" width="22.33203125" style="54" customWidth="1"/>
    <col min="9" max="9" width="39.08203125" style="54" hidden="1" customWidth="1"/>
    <col min="10" max="10" width="2.58203125" style="54" hidden="1" customWidth="1"/>
    <col min="11" max="11" width="39.08203125" style="54" hidden="1" customWidth="1"/>
    <col min="12" max="16384" width="9" style="54"/>
  </cols>
  <sheetData>
    <row r="1" spans="1:11" s="59" customFormat="1" ht="18.5" x14ac:dyDescent="0.45">
      <c r="A1" s="67" t="s">
        <v>0</v>
      </c>
      <c r="B1" s="81"/>
      <c r="C1" s="81"/>
      <c r="D1" s="81"/>
      <c r="E1" s="81"/>
      <c r="F1" s="33"/>
      <c r="G1" s="33"/>
      <c r="H1" s="33"/>
      <c r="I1" s="33"/>
      <c r="J1" s="33"/>
      <c r="K1" s="33"/>
    </row>
    <row r="2" spans="1:11" s="59" customFormat="1" ht="18.5" x14ac:dyDescent="0.45">
      <c r="A2" s="11" t="s">
        <v>1</v>
      </c>
      <c r="C2" s="33"/>
      <c r="D2" s="33"/>
      <c r="E2" s="33"/>
      <c r="F2" s="33"/>
      <c r="G2" s="33"/>
    </row>
    <row r="3" spans="1:11" s="59" customFormat="1" ht="18.5" x14ac:dyDescent="0.45">
      <c r="A3" s="31" t="s">
        <v>2</v>
      </c>
      <c r="C3" s="33"/>
      <c r="D3" s="33"/>
      <c r="E3" s="33"/>
      <c r="F3" s="33"/>
      <c r="G3" s="33"/>
    </row>
    <row r="4" spans="1:11" s="59" customFormat="1" ht="55.5" x14ac:dyDescent="0.45">
      <c r="A4" s="31" t="s">
        <v>3</v>
      </c>
      <c r="C4" s="33"/>
      <c r="D4" s="33"/>
      <c r="E4" s="33"/>
      <c r="F4" s="33"/>
      <c r="G4" s="33"/>
    </row>
    <row r="5" spans="1:11" s="59" customFormat="1" ht="56" thickBot="1" x14ac:dyDescent="0.5">
      <c r="A5" s="444" t="s">
        <v>4</v>
      </c>
      <c r="B5" s="229"/>
      <c r="C5" s="229"/>
      <c r="D5" s="229"/>
      <c r="E5" s="229"/>
      <c r="F5" s="230"/>
      <c r="G5" s="230"/>
      <c r="H5" s="230"/>
      <c r="I5" s="32"/>
      <c r="J5" s="32"/>
      <c r="K5" s="32"/>
    </row>
    <row r="6" spans="1:11" ht="47" thickBot="1" x14ac:dyDescent="0.4">
      <c r="A6" s="445" t="s">
        <v>325</v>
      </c>
      <c r="C6" s="228"/>
      <c r="D6" s="228"/>
      <c r="E6" s="228"/>
      <c r="F6" s="228"/>
      <c r="G6" s="228"/>
      <c r="H6" s="228"/>
      <c r="K6" s="208"/>
    </row>
    <row r="7" spans="1:11" ht="77.5" x14ac:dyDescent="0.35">
      <c r="A7" s="367" t="s">
        <v>34</v>
      </c>
      <c r="B7" s="446" t="s">
        <v>348</v>
      </c>
      <c r="C7" s="446" t="s">
        <v>349</v>
      </c>
      <c r="D7" s="446" t="s">
        <v>350</v>
      </c>
      <c r="E7" s="447" t="s">
        <v>351</v>
      </c>
      <c r="F7" s="447" t="s">
        <v>352</v>
      </c>
      <c r="G7" s="447" t="s">
        <v>353</v>
      </c>
      <c r="H7" s="447" t="s">
        <v>354</v>
      </c>
      <c r="I7" s="19"/>
      <c r="J7" s="19"/>
      <c r="K7" s="19"/>
    </row>
    <row r="8" spans="1:11" ht="15.5" x14ac:dyDescent="0.35">
      <c r="A8" s="209">
        <v>1981</v>
      </c>
      <c r="B8" s="19">
        <v>1459.4375</v>
      </c>
      <c r="C8" s="19">
        <v>300</v>
      </c>
      <c r="D8" s="19">
        <v>415.52</v>
      </c>
      <c r="E8" s="19">
        <v>4599.7725</v>
      </c>
      <c r="F8" s="19">
        <v>4123.9929110000012</v>
      </c>
      <c r="G8" s="19">
        <v>4330.434782608696</v>
      </c>
      <c r="H8" s="19">
        <v>1533.2574999999999</v>
      </c>
      <c r="I8" s="19"/>
      <c r="J8" s="19"/>
      <c r="K8" s="19"/>
    </row>
    <row r="9" spans="1:11" ht="15.5" x14ac:dyDescent="0.35">
      <c r="A9" s="209">
        <v>1982</v>
      </c>
      <c r="B9" s="19">
        <v>797.0625</v>
      </c>
      <c r="C9" s="19">
        <v>5600</v>
      </c>
      <c r="D9" s="19">
        <v>166.24</v>
      </c>
      <c r="E9" s="19">
        <v>4147.5149999999994</v>
      </c>
      <c r="F9" s="19">
        <v>3718.5148740000004</v>
      </c>
      <c r="G9" s="19">
        <v>4466.95652173913</v>
      </c>
      <c r="H9" s="19">
        <v>1382.5049999999999</v>
      </c>
      <c r="I9" s="19"/>
      <c r="J9" s="19"/>
      <c r="K9" s="19"/>
    </row>
    <row r="10" spans="1:11" ht="15.5" x14ac:dyDescent="0.35">
      <c r="A10" s="209">
        <v>1983</v>
      </c>
      <c r="B10" s="19">
        <v>735.125</v>
      </c>
      <c r="C10" s="19">
        <v>5000</v>
      </c>
      <c r="D10" s="19">
        <v>285.64</v>
      </c>
      <c r="E10" s="19">
        <v>3413.6099999999997</v>
      </c>
      <c r="F10" s="19">
        <v>3060.5216760000008</v>
      </c>
      <c r="G10" s="19">
        <v>4000</v>
      </c>
      <c r="H10" s="19">
        <v>1137.8699999999999</v>
      </c>
      <c r="I10" s="19"/>
      <c r="J10" s="19"/>
      <c r="K10" s="19"/>
    </row>
    <row r="11" spans="1:11" ht="15.5" x14ac:dyDescent="0.35">
      <c r="A11" s="209">
        <v>1984</v>
      </c>
      <c r="B11" s="19">
        <v>1211.0625</v>
      </c>
      <c r="C11" s="19">
        <v>2400</v>
      </c>
      <c r="D11" s="19">
        <v>473.44</v>
      </c>
      <c r="E11" s="19">
        <v>6657.6674999999996</v>
      </c>
      <c r="F11" s="19">
        <v>5969.0285930000009</v>
      </c>
      <c r="G11" s="19">
        <v>4547.826086956522</v>
      </c>
      <c r="H11" s="19">
        <v>2219.2224999999999</v>
      </c>
      <c r="I11" s="19"/>
      <c r="J11" s="19"/>
      <c r="K11" s="19"/>
    </row>
    <row r="12" spans="1:11" ht="15.5" x14ac:dyDescent="0.35">
      <c r="A12" s="209">
        <v>1985</v>
      </c>
      <c r="B12" s="19">
        <v>1263.75</v>
      </c>
      <c r="C12" s="19">
        <v>260.5</v>
      </c>
      <c r="D12" s="19">
        <v>274.24</v>
      </c>
      <c r="E12" s="19">
        <v>4306.8450000000003</v>
      </c>
      <c r="F12" s="19">
        <v>3861.3645020000004</v>
      </c>
      <c r="G12" s="19">
        <v>3993.9130434782605</v>
      </c>
      <c r="H12" s="19">
        <v>1435.615</v>
      </c>
      <c r="I12" s="19"/>
      <c r="J12" s="19"/>
      <c r="K12" s="19"/>
    </row>
    <row r="13" spans="1:11" ht="15.5" x14ac:dyDescent="0.35">
      <c r="A13" s="209">
        <v>1986</v>
      </c>
      <c r="B13" s="19">
        <v>764.25</v>
      </c>
      <c r="C13" s="19">
        <v>5607.7000000000007</v>
      </c>
      <c r="D13" s="19">
        <v>322.16000000000003</v>
      </c>
      <c r="E13" s="19">
        <v>3454.5</v>
      </c>
      <c r="F13" s="19">
        <v>3097.1822000000002</v>
      </c>
      <c r="G13" s="19">
        <v>3785.2173913043475</v>
      </c>
      <c r="H13" s="19">
        <v>1151.5</v>
      </c>
      <c r="I13" s="19"/>
      <c r="J13" s="19"/>
      <c r="K13" s="19"/>
    </row>
    <row r="14" spans="1:11" ht="15.5" x14ac:dyDescent="0.35">
      <c r="A14" s="209">
        <v>1987</v>
      </c>
      <c r="B14" s="19">
        <v>1116.375</v>
      </c>
      <c r="C14" s="19">
        <v>0</v>
      </c>
      <c r="D14" s="19">
        <v>231.36</v>
      </c>
      <c r="E14" s="19">
        <v>6180.0299999999988</v>
      </c>
      <c r="F14" s="19">
        <v>5540.7957480000014</v>
      </c>
      <c r="G14" s="19">
        <v>4220.869565217391</v>
      </c>
      <c r="H14" s="19">
        <v>2060.0099999999998</v>
      </c>
      <c r="I14" s="19"/>
      <c r="J14" s="19"/>
      <c r="K14" s="19"/>
    </row>
    <row r="15" spans="1:11" ht="15.5" x14ac:dyDescent="0.35">
      <c r="A15" s="209">
        <v>1988</v>
      </c>
      <c r="B15" s="19">
        <v>816.6875</v>
      </c>
      <c r="C15" s="19">
        <v>0</v>
      </c>
      <c r="D15" s="19">
        <v>283.36</v>
      </c>
      <c r="E15" s="19">
        <v>3725.5724999999993</v>
      </c>
      <c r="F15" s="19">
        <v>3340.2161910000004</v>
      </c>
      <c r="G15" s="19">
        <v>3946.086956521739</v>
      </c>
      <c r="H15" s="19">
        <v>1241.8574999999998</v>
      </c>
      <c r="I15" s="19"/>
      <c r="J15" s="19"/>
      <c r="K15" s="19"/>
    </row>
    <row r="16" spans="1:11" ht="15.5" x14ac:dyDescent="0.35">
      <c r="A16" s="209">
        <v>1989</v>
      </c>
      <c r="B16" s="19">
        <v>959.75</v>
      </c>
      <c r="C16" s="19">
        <v>0</v>
      </c>
      <c r="D16" s="19">
        <v>271.04000000000002</v>
      </c>
      <c r="E16" s="19">
        <v>4176.7725</v>
      </c>
      <c r="F16" s="19">
        <v>3744.7461110000004</v>
      </c>
      <c r="G16" s="19">
        <v>3760.869565217391</v>
      </c>
      <c r="H16" s="19">
        <v>1392.2574999999999</v>
      </c>
      <c r="I16" s="19"/>
      <c r="J16" s="19"/>
      <c r="K16" s="19"/>
    </row>
    <row r="17" spans="1:11" ht="15.5" x14ac:dyDescent="0.35">
      <c r="A17" s="209">
        <v>1990</v>
      </c>
      <c r="B17" s="19">
        <v>727.3125</v>
      </c>
      <c r="C17" s="19">
        <v>0</v>
      </c>
      <c r="D17" s="19">
        <v>247.72</v>
      </c>
      <c r="E17" s="19">
        <v>3607.1324999999997</v>
      </c>
      <c r="F17" s="19">
        <v>3234.0270870000008</v>
      </c>
      <c r="G17" s="19">
        <v>2284.3478260869565</v>
      </c>
      <c r="H17" s="19">
        <v>1202.3774999999998</v>
      </c>
      <c r="I17" s="19"/>
      <c r="J17" s="19"/>
      <c r="K17" s="19"/>
    </row>
    <row r="18" spans="1:11" ht="15.5" x14ac:dyDescent="0.35">
      <c r="A18" s="209">
        <v>1991</v>
      </c>
      <c r="B18" s="19">
        <v>873.625</v>
      </c>
      <c r="C18" s="19">
        <v>0</v>
      </c>
      <c r="D18" s="19">
        <v>252.48000000000002</v>
      </c>
      <c r="E18" s="19">
        <v>1403.655</v>
      </c>
      <c r="F18" s="19">
        <v>1258.467298</v>
      </c>
      <c r="G18" s="19">
        <v>974.78260869565213</v>
      </c>
      <c r="H18" s="19">
        <v>467.88499999999999</v>
      </c>
      <c r="I18" s="19"/>
      <c r="J18" s="19"/>
      <c r="K18" s="19"/>
    </row>
    <row r="19" spans="1:11" ht="15.5" x14ac:dyDescent="0.35">
      <c r="A19" s="209">
        <v>1992</v>
      </c>
      <c r="B19" s="19">
        <v>1084.9375</v>
      </c>
      <c r="C19" s="19">
        <v>0</v>
      </c>
      <c r="D19" s="19">
        <v>331.48</v>
      </c>
      <c r="E19" s="19">
        <v>708.87749999999994</v>
      </c>
      <c r="F19" s="19">
        <v>635.55442900000003</v>
      </c>
      <c r="G19" s="19">
        <v>861.73913043478262</v>
      </c>
      <c r="H19" s="19">
        <v>236.29249999999999</v>
      </c>
      <c r="I19" s="19"/>
      <c r="J19" s="19"/>
      <c r="K19" s="19"/>
    </row>
    <row r="20" spans="1:11" ht="15.5" x14ac:dyDescent="0.35">
      <c r="A20" s="209">
        <v>1993</v>
      </c>
      <c r="B20" s="19">
        <v>834.6875</v>
      </c>
      <c r="C20" s="19">
        <v>4500</v>
      </c>
      <c r="D20" s="19">
        <v>278.72000000000003</v>
      </c>
      <c r="E20" s="19">
        <v>2574.3074999999999</v>
      </c>
      <c r="F20" s="19">
        <v>2308.0328170000003</v>
      </c>
      <c r="G20" s="19">
        <v>2357.391304347826</v>
      </c>
      <c r="H20" s="19">
        <v>858.10249999999996</v>
      </c>
      <c r="I20" s="19"/>
      <c r="J20" s="19"/>
      <c r="K20" s="19"/>
    </row>
    <row r="21" spans="1:11" ht="15.5" x14ac:dyDescent="0.35">
      <c r="A21" s="209">
        <v>1994</v>
      </c>
      <c r="B21" s="19">
        <v>1112.3125</v>
      </c>
      <c r="C21" s="19">
        <v>0</v>
      </c>
      <c r="D21" s="19">
        <v>300</v>
      </c>
      <c r="E21" s="19">
        <v>2584.8824999999997</v>
      </c>
      <c r="F21" s="19">
        <v>2317.5139870000003</v>
      </c>
      <c r="G21" s="19">
        <v>1798.2608695652173</v>
      </c>
      <c r="H21" s="19">
        <v>861.62749999999994</v>
      </c>
      <c r="I21" s="19"/>
      <c r="J21" s="19"/>
      <c r="K21" s="19"/>
    </row>
    <row r="22" spans="1:11" ht="15.5" x14ac:dyDescent="0.35">
      <c r="A22" s="209">
        <v>1995</v>
      </c>
      <c r="B22" s="19">
        <v>330.6875</v>
      </c>
      <c r="C22" s="19">
        <v>5000</v>
      </c>
      <c r="D22" s="19">
        <v>262.48</v>
      </c>
      <c r="E22" s="19">
        <v>2606.0324999999998</v>
      </c>
      <c r="F22" s="19">
        <v>2336.4763270000008</v>
      </c>
      <c r="G22" s="19">
        <v>3665.2173913043475</v>
      </c>
      <c r="H22" s="19">
        <v>868.6774999999999</v>
      </c>
      <c r="I22" s="19"/>
      <c r="J22" s="19"/>
      <c r="K22" s="19"/>
    </row>
    <row r="23" spans="1:11" ht="15.5" x14ac:dyDescent="0.35">
      <c r="A23" s="209">
        <v>1996</v>
      </c>
      <c r="B23" s="19">
        <v>1621.6875</v>
      </c>
      <c r="C23" s="19">
        <v>2900</v>
      </c>
      <c r="D23" s="19">
        <v>314.64</v>
      </c>
      <c r="E23" s="19">
        <v>2032.5149999999999</v>
      </c>
      <c r="F23" s="19">
        <v>1822.2808740000003</v>
      </c>
      <c r="G23" s="19">
        <v>3663.478260869565</v>
      </c>
      <c r="H23" s="19">
        <v>677.505</v>
      </c>
      <c r="I23" s="19"/>
      <c r="J23" s="19"/>
      <c r="K23" s="19"/>
    </row>
    <row r="24" spans="1:11" ht="15.5" x14ac:dyDescent="0.35">
      <c r="A24" s="209">
        <v>1997</v>
      </c>
      <c r="B24" s="19">
        <v>863.875</v>
      </c>
      <c r="C24" s="19">
        <v>3000</v>
      </c>
      <c r="D24" s="19">
        <v>291.60000000000002</v>
      </c>
      <c r="E24" s="19">
        <v>4219.7775000000001</v>
      </c>
      <c r="F24" s="19">
        <v>3783.3028690000006</v>
      </c>
      <c r="G24" s="19">
        <v>2762.608695652174</v>
      </c>
      <c r="H24" s="19">
        <v>1406.5925</v>
      </c>
      <c r="I24" s="19"/>
      <c r="J24" s="19"/>
      <c r="K24" s="19"/>
    </row>
    <row r="25" spans="1:11" ht="15.5" x14ac:dyDescent="0.35">
      <c r="A25" s="209">
        <v>1998</v>
      </c>
      <c r="B25" s="19">
        <v>824.6875</v>
      </c>
      <c r="C25" s="19">
        <v>1378.4</v>
      </c>
      <c r="D25" s="19">
        <v>196.24</v>
      </c>
      <c r="E25" s="19">
        <v>3000.48</v>
      </c>
      <c r="F25" s="19">
        <v>2690.1239680000008</v>
      </c>
      <c r="G25" s="19">
        <v>4126.086956521739</v>
      </c>
      <c r="H25" s="19">
        <v>1000.16</v>
      </c>
      <c r="I25" s="19"/>
      <c r="J25" s="19"/>
      <c r="K25" s="19"/>
    </row>
    <row r="26" spans="1:11" ht="15.5" x14ac:dyDescent="0.35">
      <c r="A26" s="209">
        <v>1999</v>
      </c>
      <c r="B26" s="19">
        <v>1225.6875</v>
      </c>
      <c r="C26" s="19">
        <v>1000</v>
      </c>
      <c r="D26" s="19">
        <v>408.48</v>
      </c>
      <c r="E26" s="19">
        <v>1394.3789383561643</v>
      </c>
      <c r="F26" s="19">
        <v>2717.8328854109591</v>
      </c>
      <c r="G26" s="19">
        <v>2791.304347826087</v>
      </c>
      <c r="H26" s="19">
        <v>464.79297945205479</v>
      </c>
      <c r="I26" s="19"/>
      <c r="J26" s="19"/>
      <c r="K26" s="19"/>
    </row>
    <row r="27" spans="1:11" ht="15.5" x14ac:dyDescent="0.35">
      <c r="A27" s="209">
        <v>2000</v>
      </c>
      <c r="B27" s="19">
        <v>979.5625</v>
      </c>
      <c r="C27" s="19">
        <v>1171.6000000000001</v>
      </c>
      <c r="D27" s="19">
        <v>277.92</v>
      </c>
      <c r="E27" s="19"/>
      <c r="F27" s="19">
        <v>2767.4283</v>
      </c>
      <c r="G27" s="19">
        <v>2569.5652173913045</v>
      </c>
      <c r="H27" s="19"/>
      <c r="I27" s="19"/>
      <c r="J27" s="19"/>
      <c r="K27" s="19"/>
    </row>
    <row r="28" spans="1:11" ht="15.5" x14ac:dyDescent="0.35">
      <c r="A28" s="210" t="s">
        <v>61</v>
      </c>
      <c r="B28" s="19">
        <v>969.875</v>
      </c>
      <c r="C28" s="19">
        <v>250</v>
      </c>
      <c r="D28" s="19">
        <v>318.68</v>
      </c>
      <c r="E28" s="162"/>
      <c r="F28" s="19">
        <v>2445.4263000000001</v>
      </c>
      <c r="G28" s="19">
        <v>1468.695652173913</v>
      </c>
      <c r="H28" s="19"/>
      <c r="I28" s="19"/>
      <c r="J28" s="19"/>
      <c r="K28" s="19"/>
    </row>
    <row r="29" spans="1:11" ht="15.5" x14ac:dyDescent="0.35">
      <c r="A29" s="210" t="s">
        <v>62</v>
      </c>
      <c r="B29" s="19">
        <v>1082.75</v>
      </c>
      <c r="C29" s="19">
        <v>457.1</v>
      </c>
      <c r="D29" s="19">
        <v>294.12</v>
      </c>
      <c r="E29" s="162"/>
      <c r="F29" s="19">
        <v>2385.2000000000003</v>
      </c>
      <c r="G29" s="19">
        <v>2715.6521739130435</v>
      </c>
      <c r="H29" s="19"/>
      <c r="I29" s="19"/>
      <c r="J29" s="19"/>
      <c r="K29" s="19"/>
    </row>
    <row r="30" spans="1:11" ht="15.5" x14ac:dyDescent="0.35">
      <c r="A30" s="210" t="s">
        <v>63</v>
      </c>
      <c r="B30" s="19">
        <v>1044.75</v>
      </c>
      <c r="C30" s="19">
        <v>2156.2000000000003</v>
      </c>
      <c r="D30" s="19">
        <v>250.56</v>
      </c>
      <c r="E30" s="162"/>
      <c r="F30" s="19">
        <v>375.21319808219187</v>
      </c>
      <c r="G30" s="19">
        <v>3235.6521739130435</v>
      </c>
      <c r="H30" s="19"/>
      <c r="I30" s="19"/>
      <c r="J30" s="19"/>
      <c r="K30" s="19"/>
    </row>
    <row r="31" spans="1:11" ht="15.5" x14ac:dyDescent="0.35">
      <c r="A31" s="209" t="s">
        <v>64</v>
      </c>
      <c r="B31" s="19">
        <v>1008.625</v>
      </c>
      <c r="C31" s="19">
        <v>400</v>
      </c>
      <c r="D31" s="19">
        <v>322.72000000000003</v>
      </c>
      <c r="E31" s="162"/>
      <c r="F31" s="19"/>
      <c r="G31" s="19">
        <v>2058.2608695652175</v>
      </c>
      <c r="H31" s="19"/>
      <c r="I31" s="19"/>
      <c r="J31" s="19"/>
      <c r="K31" s="19"/>
    </row>
    <row r="32" spans="1:11" ht="15.5" x14ac:dyDescent="0.35">
      <c r="A32" s="209" t="s">
        <v>65</v>
      </c>
      <c r="B32" s="19">
        <v>1058</v>
      </c>
      <c r="C32" s="19">
        <v>580.5</v>
      </c>
      <c r="D32" s="19">
        <v>296.76</v>
      </c>
      <c r="E32" s="162"/>
      <c r="F32" s="19"/>
      <c r="G32" s="19">
        <v>3858.2608695652175</v>
      </c>
      <c r="H32" s="19"/>
      <c r="I32" s="19"/>
      <c r="J32" s="19"/>
      <c r="K32" s="19"/>
    </row>
    <row r="33" spans="1:11" ht="15.5" x14ac:dyDescent="0.35">
      <c r="A33" s="209" t="s">
        <v>66</v>
      </c>
      <c r="B33" s="19">
        <v>976.125</v>
      </c>
      <c r="C33" s="19">
        <v>736.1</v>
      </c>
      <c r="D33" s="19">
        <v>264.24</v>
      </c>
      <c r="E33" s="162"/>
      <c r="F33" s="19"/>
      <c r="G33" s="19">
        <v>0</v>
      </c>
      <c r="H33" s="19"/>
      <c r="I33" s="19"/>
      <c r="J33" s="19"/>
      <c r="K33" s="19"/>
    </row>
    <row r="34" spans="1:11" ht="15.5" x14ac:dyDescent="0.35">
      <c r="A34" s="209" t="s">
        <v>67</v>
      </c>
      <c r="B34" s="19">
        <v>674</v>
      </c>
      <c r="C34" s="19">
        <v>0</v>
      </c>
      <c r="D34" s="19">
        <v>254.52</v>
      </c>
      <c r="E34" s="162"/>
      <c r="F34" s="19"/>
      <c r="G34" s="19">
        <v>1980</v>
      </c>
      <c r="H34" s="19"/>
      <c r="I34" s="19"/>
      <c r="J34" s="19"/>
      <c r="K34" s="19"/>
    </row>
    <row r="35" spans="1:11" ht="15.5" x14ac:dyDescent="0.35">
      <c r="A35" s="209" t="s">
        <v>68</v>
      </c>
      <c r="B35" s="19">
        <v>867.875</v>
      </c>
      <c r="C35" s="19">
        <v>250</v>
      </c>
      <c r="D35" s="19">
        <v>287.36</v>
      </c>
      <c r="E35" s="162"/>
      <c r="F35" s="19"/>
      <c r="G35" s="19">
        <v>1598.2608695652173</v>
      </c>
      <c r="H35" s="19"/>
      <c r="I35" s="19"/>
      <c r="J35" s="19"/>
      <c r="K35" s="19"/>
    </row>
    <row r="36" spans="1:11" ht="15.5" x14ac:dyDescent="0.35">
      <c r="A36" s="209" t="s">
        <v>69</v>
      </c>
      <c r="B36" s="19">
        <v>1109.6875</v>
      </c>
      <c r="C36" s="19">
        <v>1558.9</v>
      </c>
      <c r="D36" s="19">
        <v>282.16000000000003</v>
      </c>
      <c r="E36" s="162"/>
      <c r="F36" s="19"/>
      <c r="G36" s="19">
        <v>401.73913043478262</v>
      </c>
      <c r="H36" s="19"/>
      <c r="I36" s="19"/>
      <c r="J36" s="19"/>
      <c r="K36" s="19"/>
    </row>
    <row r="37" spans="1:11" ht="15.5" x14ac:dyDescent="0.35">
      <c r="A37" s="210" t="s">
        <v>70</v>
      </c>
      <c r="B37" s="19">
        <v>1702.3125</v>
      </c>
      <c r="C37" s="19">
        <v>2675.5</v>
      </c>
      <c r="D37" s="19">
        <v>307.76</v>
      </c>
      <c r="E37" s="162"/>
      <c r="F37" s="19"/>
      <c r="G37" s="19">
        <v>1824.3478260869565</v>
      </c>
      <c r="H37" s="19"/>
      <c r="I37" s="19"/>
      <c r="J37" s="19"/>
      <c r="K37" s="19"/>
    </row>
    <row r="38" spans="1:11" ht="15.5" x14ac:dyDescent="0.35">
      <c r="A38" s="210" t="s">
        <v>71</v>
      </c>
      <c r="B38" s="19">
        <v>763.6875</v>
      </c>
      <c r="C38" s="19">
        <v>7581.2000000000007</v>
      </c>
      <c r="D38" s="19">
        <v>285.95999999999998</v>
      </c>
      <c r="E38" s="162"/>
      <c r="F38" s="19"/>
      <c r="G38" s="19">
        <v>3172.173913043478</v>
      </c>
      <c r="H38" s="19"/>
      <c r="I38" s="19"/>
      <c r="J38" s="19"/>
      <c r="K38" s="19"/>
    </row>
    <row r="39" spans="1:11" ht="15.5" x14ac:dyDescent="0.35">
      <c r="A39" s="209" t="s">
        <v>72</v>
      </c>
      <c r="B39" s="19">
        <v>793.625</v>
      </c>
      <c r="C39" s="162"/>
      <c r="D39" s="19">
        <v>186.92000000000002</v>
      </c>
      <c r="E39" s="162"/>
      <c r="F39" s="19"/>
      <c r="G39" s="19"/>
      <c r="H39" s="19"/>
      <c r="I39" s="19"/>
      <c r="J39" s="19"/>
      <c r="K39" s="19"/>
    </row>
    <row r="40" spans="1:11" ht="16.5" customHeight="1" thickBot="1" x14ac:dyDescent="0.4">
      <c r="A40" s="209" t="s">
        <v>73</v>
      </c>
      <c r="B40" s="19">
        <v>717.125</v>
      </c>
      <c r="C40" s="162"/>
      <c r="D40" s="19">
        <v>173.8</v>
      </c>
      <c r="E40" s="162"/>
      <c r="F40" s="19"/>
      <c r="G40" s="19"/>
      <c r="H40" s="19"/>
      <c r="I40" s="19"/>
      <c r="J40" s="19"/>
      <c r="K40" s="19"/>
    </row>
    <row r="41" spans="1:11" ht="15.5" hidden="1" x14ac:dyDescent="0.35">
      <c r="A41" s="209"/>
      <c r="B41" s="203"/>
      <c r="C41" s="203"/>
      <c r="D41" s="203"/>
      <c r="E41" s="203"/>
      <c r="F41" s="19"/>
      <c r="G41" s="19"/>
      <c r="H41" s="19"/>
      <c r="I41" s="19"/>
      <c r="J41" s="19"/>
      <c r="K41" s="19"/>
    </row>
    <row r="42" spans="1:11" ht="15.5" hidden="1" x14ac:dyDescent="0.35">
      <c r="A42" s="209"/>
      <c r="B42" s="203"/>
      <c r="C42" s="203"/>
      <c r="D42" s="203"/>
      <c r="E42" s="203"/>
      <c r="F42" s="19"/>
      <c r="G42" s="19"/>
      <c r="H42" s="19"/>
      <c r="I42" s="19"/>
      <c r="J42" s="19"/>
      <c r="K42" s="19"/>
    </row>
    <row r="43" spans="1:11" ht="15.5" hidden="1" x14ac:dyDescent="0.35">
      <c r="A43" s="209"/>
      <c r="B43" s="203"/>
      <c r="C43" s="203"/>
      <c r="D43" s="203"/>
      <c r="E43" s="203"/>
      <c r="F43" s="19"/>
      <c r="G43" s="19"/>
      <c r="H43" s="19"/>
      <c r="I43" s="19"/>
      <c r="J43" s="19"/>
      <c r="K43" s="19"/>
    </row>
    <row r="44" spans="1:11" ht="15.5" hidden="1" x14ac:dyDescent="0.35">
      <c r="A44" s="209"/>
      <c r="B44" s="203"/>
      <c r="C44" s="203"/>
      <c r="D44" s="203"/>
      <c r="E44" s="203"/>
      <c r="F44" s="19"/>
      <c r="G44" s="19"/>
      <c r="H44" s="19"/>
      <c r="I44" s="19"/>
      <c r="J44" s="19"/>
      <c r="K44" s="19"/>
    </row>
    <row r="45" spans="1:11" ht="15.5" hidden="1" x14ac:dyDescent="0.35">
      <c r="A45" s="209"/>
      <c r="B45" s="203"/>
      <c r="C45" s="203"/>
      <c r="D45" s="203"/>
      <c r="E45" s="203"/>
      <c r="F45" s="19"/>
      <c r="G45" s="19"/>
      <c r="H45" s="19"/>
      <c r="I45" s="19"/>
      <c r="J45" s="19"/>
      <c r="K45" s="19"/>
    </row>
    <row r="46" spans="1:11" ht="15.5" hidden="1" x14ac:dyDescent="0.35">
      <c r="A46" s="209"/>
      <c r="B46" s="203"/>
      <c r="C46" s="203"/>
      <c r="D46" s="203"/>
      <c r="E46" s="203"/>
      <c r="F46" s="19"/>
      <c r="G46" s="19"/>
      <c r="H46" s="19"/>
      <c r="I46" s="19"/>
      <c r="J46" s="19"/>
      <c r="K46" s="19"/>
    </row>
    <row r="47" spans="1:11" ht="15.5" hidden="1" x14ac:dyDescent="0.35">
      <c r="A47" s="209"/>
      <c r="B47" s="203"/>
      <c r="C47" s="203"/>
      <c r="D47" s="203"/>
      <c r="E47" s="203"/>
      <c r="F47" s="19"/>
      <c r="G47" s="19"/>
      <c r="H47" s="19"/>
      <c r="I47" s="19"/>
      <c r="J47" s="19"/>
      <c r="K47" s="19"/>
    </row>
    <row r="48" spans="1:11" ht="15.5" hidden="1" x14ac:dyDescent="0.35">
      <c r="A48" s="209"/>
      <c r="B48" s="203"/>
      <c r="C48" s="203"/>
      <c r="D48" s="203"/>
      <c r="E48" s="203"/>
      <c r="F48" s="19"/>
      <c r="G48" s="19"/>
      <c r="H48" s="19"/>
      <c r="I48" s="19"/>
      <c r="J48" s="19"/>
      <c r="K48" s="19"/>
    </row>
    <row r="49" spans="1:11" ht="15.5" hidden="1" x14ac:dyDescent="0.35">
      <c r="A49" s="209"/>
      <c r="B49" s="203"/>
      <c r="C49" s="203"/>
      <c r="D49" s="203"/>
      <c r="E49" s="203"/>
      <c r="F49" s="19"/>
      <c r="G49" s="19"/>
      <c r="H49" s="19"/>
      <c r="I49" s="19"/>
      <c r="J49" s="19"/>
      <c r="K49" s="19"/>
    </row>
    <row r="50" spans="1:11" ht="15.5" hidden="1" x14ac:dyDescent="0.35">
      <c r="A50" s="209"/>
      <c r="B50" s="203"/>
      <c r="C50" s="203"/>
      <c r="D50" s="203"/>
      <c r="E50" s="203"/>
      <c r="F50" s="19"/>
      <c r="G50" s="19"/>
      <c r="H50" s="19"/>
      <c r="I50" s="19"/>
      <c r="J50" s="19"/>
      <c r="K50" s="19"/>
    </row>
    <row r="51" spans="1:11" ht="15.5" hidden="1" x14ac:dyDescent="0.35">
      <c r="A51" s="209"/>
      <c r="B51" s="203"/>
      <c r="C51" s="203"/>
      <c r="D51" s="203"/>
      <c r="E51" s="203"/>
      <c r="F51" s="19"/>
      <c r="G51" s="19"/>
      <c r="H51" s="19"/>
      <c r="I51" s="19"/>
      <c r="J51" s="19"/>
      <c r="K51" s="19"/>
    </row>
    <row r="52" spans="1:11" ht="16" hidden="1" thickBot="1" x14ac:dyDescent="0.4">
      <c r="A52" s="209"/>
      <c r="B52" s="203"/>
      <c r="C52" s="203"/>
      <c r="D52" s="203"/>
      <c r="E52" s="203"/>
      <c r="F52" s="19"/>
      <c r="G52" s="19"/>
      <c r="H52" s="19"/>
      <c r="I52" s="19"/>
      <c r="J52" s="19"/>
      <c r="K52" s="19"/>
    </row>
    <row r="53" spans="1:11" ht="16" hidden="1" thickBot="1" x14ac:dyDescent="0.4">
      <c r="A53" s="209"/>
      <c r="B53" s="203"/>
      <c r="C53" s="203"/>
      <c r="D53" s="203"/>
      <c r="E53" s="203"/>
      <c r="F53" s="19"/>
      <c r="G53" s="19"/>
      <c r="H53" s="19"/>
      <c r="I53" s="27"/>
      <c r="J53" s="19"/>
      <c r="K53" s="27"/>
    </row>
    <row r="54" spans="1:11" ht="19" hidden="1" thickBot="1" x14ac:dyDescent="0.5">
      <c r="A54" s="209"/>
      <c r="B54" s="203"/>
      <c r="C54" s="203"/>
      <c r="D54" s="203"/>
      <c r="E54" s="203"/>
      <c r="F54" s="19"/>
      <c r="G54" s="19"/>
      <c r="H54" s="19"/>
      <c r="I54" s="114"/>
      <c r="J54" s="114"/>
      <c r="K54" s="114"/>
    </row>
    <row r="55" spans="1:11" ht="19" hidden="1" thickBot="1" x14ac:dyDescent="0.5">
      <c r="A55" s="209"/>
      <c r="B55" s="203"/>
      <c r="C55" s="203"/>
      <c r="D55" s="203"/>
      <c r="E55" s="203"/>
      <c r="F55" s="19"/>
      <c r="G55" s="19"/>
      <c r="H55" s="19"/>
      <c r="I55" s="114"/>
      <c r="J55" s="114"/>
      <c r="K55" s="114"/>
    </row>
    <row r="56" spans="1:11" ht="16" hidden="1" thickBot="1" x14ac:dyDescent="0.4">
      <c r="A56" s="209"/>
      <c r="B56" s="203"/>
      <c r="C56" s="203"/>
      <c r="D56" s="203"/>
      <c r="E56" s="203"/>
      <c r="F56" s="19"/>
      <c r="G56" s="19"/>
      <c r="H56" s="19"/>
    </row>
    <row r="57" spans="1:11" ht="16" hidden="1" thickBot="1" x14ac:dyDescent="0.4">
      <c r="A57" s="209"/>
      <c r="B57" s="203"/>
      <c r="C57" s="203"/>
      <c r="D57" s="203"/>
      <c r="E57" s="203"/>
      <c r="F57" s="19"/>
      <c r="G57" s="19"/>
      <c r="H57" s="19"/>
    </row>
    <row r="58" spans="1:11" ht="24" customHeight="1" x14ac:dyDescent="0.35">
      <c r="A58" s="209" t="s">
        <v>347</v>
      </c>
      <c r="B58" s="27">
        <v>32371</v>
      </c>
      <c r="C58" s="27">
        <v>54763.7</v>
      </c>
      <c r="D58" s="27">
        <v>9410.32</v>
      </c>
      <c r="E58" s="27">
        <v>64794.323938356167</v>
      </c>
      <c r="F58" s="27">
        <v>67533.243145493165</v>
      </c>
      <c r="G58" s="27">
        <v>87220</v>
      </c>
      <c r="H58" s="27">
        <v>21598.107979452052</v>
      </c>
    </row>
  </sheetData>
  <printOptions horizontalCentered="1"/>
  <pageMargins left="0.25" right="0.25" top="0.5" bottom="0.5" header="0.3" footer="0.3"/>
  <pageSetup scale="62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5" r:id="rId4" name="Button 1">
              <controlPr defaultSize="0" print="0" autoFill="0" autoPict="0" macro="[0]!pdfPage23">
                <anchor moveWithCells="1" sizeWithCells="1">
                  <from>
                    <xdr:col>0</xdr:col>
                    <xdr:colOff>12700</xdr:colOff>
                    <xdr:row>0</xdr:row>
                    <xdr:rowOff>19050</xdr:rowOff>
                  </from>
                  <to>
                    <xdr:col>0</xdr:col>
                    <xdr:colOff>19050</xdr:colOff>
                    <xdr:row>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6" r:id="rId5" name="Button 2">
              <controlPr defaultSize="0" print="0" autoFill="0" autoPict="0" macro="[0]!Print29">
                <anchor moveWithCells="1" sizeWithCells="1">
                  <from>
                    <xdr:col>0</xdr:col>
                    <xdr:colOff>12700</xdr:colOff>
                    <xdr:row>0</xdr:row>
                    <xdr:rowOff>19050</xdr:rowOff>
                  </from>
                  <to>
                    <xdr:col>0</xdr:col>
                    <xdr:colOff>19050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8C5B33-27C0-456F-ABA6-994EE953E3D6}">
  <sheetPr codeName="Sheet45">
    <tabColor theme="5" tint="-0.249977111117893"/>
    <pageSetUpPr fitToPage="1"/>
  </sheetPr>
  <dimension ref="A1:F60"/>
  <sheetViews>
    <sheetView topLeftCell="A16" zoomScaleNormal="100" zoomScaleSheetLayoutView="100" workbookViewId="0">
      <selection activeCell="E7" sqref="E7"/>
    </sheetView>
  </sheetViews>
  <sheetFormatPr defaultColWidth="9" defaultRowHeight="15.5" x14ac:dyDescent="0.35"/>
  <cols>
    <col min="1" max="1" width="40.58203125" style="28" customWidth="1"/>
    <col min="2" max="4" width="18.83203125" style="207" customWidth="1"/>
    <col min="5" max="5" width="18.83203125" style="54" customWidth="1"/>
    <col min="6" max="16384" width="9" style="54"/>
  </cols>
  <sheetData>
    <row r="1" spans="1:6" s="59" customFormat="1" ht="18.5" x14ac:dyDescent="0.45">
      <c r="A1" s="67" t="s">
        <v>0</v>
      </c>
      <c r="B1" s="81"/>
      <c r="C1" s="81"/>
      <c r="D1" s="81"/>
      <c r="E1" s="84"/>
    </row>
    <row r="2" spans="1:6" s="59" customFormat="1" ht="18.5" x14ac:dyDescent="0.45">
      <c r="A2" s="11" t="s">
        <v>1</v>
      </c>
      <c r="B2" s="60"/>
      <c r="C2" s="60"/>
      <c r="D2" s="60"/>
      <c r="E2" s="60"/>
    </row>
    <row r="3" spans="1:6" s="59" customFormat="1" ht="18.5" x14ac:dyDescent="0.45">
      <c r="A3" s="67" t="s">
        <v>2</v>
      </c>
      <c r="B3" s="60"/>
      <c r="C3" s="60"/>
      <c r="D3" s="60"/>
      <c r="E3" s="60"/>
    </row>
    <row r="4" spans="1:6" s="59" customFormat="1" ht="55.5" x14ac:dyDescent="0.45">
      <c r="A4" s="67" t="s">
        <v>3</v>
      </c>
      <c r="B4" s="60"/>
      <c r="C4" s="60"/>
      <c r="D4" s="60"/>
      <c r="E4" s="60"/>
    </row>
    <row r="5" spans="1:6" s="59" customFormat="1" ht="55.5" x14ac:dyDescent="0.45">
      <c r="A5" s="450" t="s">
        <v>4</v>
      </c>
      <c r="B5" s="179"/>
      <c r="C5" s="448"/>
      <c r="D5" s="448"/>
      <c r="E5" s="448"/>
    </row>
    <row r="6" spans="1:6" ht="46.5" x14ac:dyDescent="0.35">
      <c r="A6" s="449" t="s">
        <v>325</v>
      </c>
      <c r="C6" s="228"/>
      <c r="D6" s="228"/>
      <c r="E6" s="228"/>
      <c r="F6" s="453"/>
    </row>
    <row r="7" spans="1:6" s="69" customFormat="1" ht="77.5" x14ac:dyDescent="0.35">
      <c r="A7" s="367" t="s">
        <v>34</v>
      </c>
      <c r="B7" s="447" t="s">
        <v>356</v>
      </c>
      <c r="C7" s="447" t="s">
        <v>405</v>
      </c>
      <c r="D7" s="446" t="s">
        <v>357</v>
      </c>
      <c r="E7" s="451" t="s">
        <v>358</v>
      </c>
      <c r="F7" s="452"/>
    </row>
    <row r="8" spans="1:6" x14ac:dyDescent="0.35">
      <c r="A8" s="209">
        <v>1981</v>
      </c>
      <c r="B8" s="19">
        <v>4889.3328443999999</v>
      </c>
      <c r="C8" s="19">
        <v>4889.3335778000001</v>
      </c>
      <c r="D8" s="19">
        <v>3619</v>
      </c>
      <c r="E8" s="19">
        <v>65597.141237296659</v>
      </c>
    </row>
    <row r="9" spans="1:6" x14ac:dyDescent="0.35">
      <c r="A9" s="209">
        <v>1982</v>
      </c>
      <c r="B9" s="19">
        <v>2503.333083</v>
      </c>
      <c r="C9" s="19">
        <v>2503.3334585000002</v>
      </c>
      <c r="D9" s="19">
        <v>2719</v>
      </c>
      <c r="E9" s="19">
        <v>71945.477433286564</v>
      </c>
    </row>
    <row r="10" spans="1:6" x14ac:dyDescent="0.35">
      <c r="A10" s="209">
        <v>1983</v>
      </c>
      <c r="B10" s="19">
        <v>2499.9997499999999</v>
      </c>
      <c r="C10" s="19">
        <v>2500.000125</v>
      </c>
      <c r="D10" s="19">
        <v>1877</v>
      </c>
      <c r="E10" s="19">
        <v>64736.392176498943</v>
      </c>
    </row>
    <row r="11" spans="1:6" x14ac:dyDescent="0.35">
      <c r="A11" s="209">
        <v>1984</v>
      </c>
      <c r="B11" s="19">
        <v>3347.9996652</v>
      </c>
      <c r="C11" s="19">
        <v>3348.0001674</v>
      </c>
      <c r="D11" s="19">
        <v>4318</v>
      </c>
      <c r="E11" s="19">
        <v>81621.784189098122</v>
      </c>
    </row>
    <row r="12" spans="1:6" x14ac:dyDescent="0.35">
      <c r="A12" s="209">
        <v>1985</v>
      </c>
      <c r="B12" s="19">
        <v>2598.6664068</v>
      </c>
      <c r="C12" s="19">
        <v>2598.6667966</v>
      </c>
      <c r="D12" s="19">
        <v>3396</v>
      </c>
      <c r="E12" s="19">
        <v>71445.905469375153</v>
      </c>
    </row>
    <row r="13" spans="1:6" x14ac:dyDescent="0.35">
      <c r="A13" s="209">
        <v>1986</v>
      </c>
      <c r="B13" s="19">
        <v>2625.3330707999999</v>
      </c>
      <c r="C13" s="19">
        <v>2625.3334646000003</v>
      </c>
      <c r="D13" s="19">
        <v>1831</v>
      </c>
      <c r="E13" s="19">
        <v>67276.750999657481</v>
      </c>
    </row>
    <row r="14" spans="1:6" x14ac:dyDescent="0.35">
      <c r="A14" s="209">
        <v>1987</v>
      </c>
      <c r="B14" s="19">
        <v>2373.9997625999999</v>
      </c>
      <c r="C14" s="19">
        <v>2374.0001186999998</v>
      </c>
      <c r="D14" s="19">
        <v>3569</v>
      </c>
      <c r="E14" s="19">
        <v>61119.228099266315</v>
      </c>
    </row>
    <row r="15" spans="1:6" x14ac:dyDescent="0.35">
      <c r="A15" s="209">
        <v>1988</v>
      </c>
      <c r="B15" s="19">
        <v>2465.6664200999999</v>
      </c>
      <c r="C15" s="19">
        <v>2465.6667899499998</v>
      </c>
      <c r="D15" s="19">
        <v>2920</v>
      </c>
      <c r="E15" s="19">
        <v>55994.521504722179</v>
      </c>
    </row>
    <row r="16" spans="1:6" x14ac:dyDescent="0.35">
      <c r="A16" s="209">
        <v>1989</v>
      </c>
      <c r="B16" s="19">
        <v>2532.9997466999998</v>
      </c>
      <c r="C16" s="19">
        <v>2533.0001266500003</v>
      </c>
      <c r="D16" s="19">
        <v>2530</v>
      </c>
      <c r="E16" s="19">
        <v>64441.709793614202</v>
      </c>
    </row>
    <row r="17" spans="1:5" x14ac:dyDescent="0.35">
      <c r="A17" s="209">
        <v>1990</v>
      </c>
      <c r="B17" s="19">
        <v>1344.6665321999999</v>
      </c>
      <c r="C17" s="19">
        <v>1344.6667339000001</v>
      </c>
      <c r="D17" s="19">
        <v>2495</v>
      </c>
      <c r="E17" s="19">
        <v>42022.889602257892</v>
      </c>
    </row>
    <row r="18" spans="1:5" x14ac:dyDescent="0.35">
      <c r="A18" s="209">
        <v>1991</v>
      </c>
      <c r="B18" s="19">
        <v>402.33329309999999</v>
      </c>
      <c r="C18" s="19">
        <v>402.33335345</v>
      </c>
      <c r="D18" s="19">
        <v>912</v>
      </c>
      <c r="E18" s="19">
        <v>21300.195682609541</v>
      </c>
    </row>
    <row r="19" spans="1:5" x14ac:dyDescent="0.35">
      <c r="A19" s="209">
        <v>1992</v>
      </c>
      <c r="B19" s="19">
        <v>810.66658559999996</v>
      </c>
      <c r="C19" s="19">
        <v>810.66670720000002</v>
      </c>
      <c r="D19" s="19">
        <v>908</v>
      </c>
      <c r="E19" s="19">
        <v>15458.962646594096</v>
      </c>
    </row>
    <row r="20" spans="1:5" x14ac:dyDescent="0.35">
      <c r="A20" s="209">
        <v>1993</v>
      </c>
      <c r="B20" s="19">
        <v>918.33324149999999</v>
      </c>
      <c r="C20" s="19">
        <v>918.33337925000001</v>
      </c>
      <c r="D20" s="19">
        <v>1354</v>
      </c>
      <c r="E20" s="19">
        <v>41505.143109404438</v>
      </c>
    </row>
    <row r="21" spans="1:5" x14ac:dyDescent="0.35">
      <c r="A21" s="209">
        <v>1994</v>
      </c>
      <c r="B21" s="19">
        <v>1548.6665118000001</v>
      </c>
      <c r="C21" s="19">
        <v>1548.6667441</v>
      </c>
      <c r="D21" s="19">
        <v>2654</v>
      </c>
      <c r="E21" s="19">
        <v>35706.806558258555</v>
      </c>
    </row>
    <row r="22" spans="1:5" x14ac:dyDescent="0.35">
      <c r="A22" s="209">
        <v>1995</v>
      </c>
      <c r="B22" s="19">
        <v>1249.999875</v>
      </c>
      <c r="C22" s="19">
        <v>1250.0000625</v>
      </c>
      <c r="D22" s="19">
        <v>1495</v>
      </c>
      <c r="E22" s="19">
        <v>43913.377707402789</v>
      </c>
    </row>
    <row r="23" spans="1:5" x14ac:dyDescent="0.35">
      <c r="A23" s="209">
        <v>1996</v>
      </c>
      <c r="B23" s="19">
        <v>997.33323359999997</v>
      </c>
      <c r="C23" s="19">
        <v>997.33338320000007</v>
      </c>
      <c r="D23" s="19">
        <v>1712</v>
      </c>
      <c r="E23" s="19">
        <v>46333.293323447753</v>
      </c>
    </row>
    <row r="24" spans="1:5" x14ac:dyDescent="0.35">
      <c r="A24" s="209">
        <v>1997</v>
      </c>
      <c r="B24" s="19">
        <v>2886.9997112999999</v>
      </c>
      <c r="C24" s="19">
        <v>2887.00014435</v>
      </c>
      <c r="D24" s="19">
        <v>2395</v>
      </c>
      <c r="E24" s="19">
        <v>54702.650546459547</v>
      </c>
    </row>
    <row r="25" spans="1:5" x14ac:dyDescent="0.35">
      <c r="A25" s="209">
        <v>1998</v>
      </c>
      <c r="B25" s="19">
        <v>971.99990279999997</v>
      </c>
      <c r="C25" s="19">
        <v>972.00004860000001</v>
      </c>
      <c r="D25" s="19">
        <v>684</v>
      </c>
      <c r="E25" s="19">
        <v>35908.826613076388</v>
      </c>
    </row>
    <row r="26" spans="1:5" x14ac:dyDescent="0.35">
      <c r="A26" s="209">
        <v>1999</v>
      </c>
      <c r="B26" s="19">
        <v>1371.3331962</v>
      </c>
      <c r="C26" s="19">
        <v>1371.3334018999999</v>
      </c>
      <c r="D26" s="19">
        <v>561</v>
      </c>
      <c r="E26" s="19">
        <v>39750.101135786361</v>
      </c>
    </row>
    <row r="27" spans="1:5" x14ac:dyDescent="0.35">
      <c r="A27" s="209">
        <v>2000</v>
      </c>
      <c r="B27" s="19">
        <v>1409.999859</v>
      </c>
      <c r="C27" s="19">
        <v>1410.0000705</v>
      </c>
      <c r="D27" s="19">
        <v>2566</v>
      </c>
      <c r="E27" s="19">
        <v>40144.077104786789</v>
      </c>
    </row>
    <row r="28" spans="1:5" x14ac:dyDescent="0.35">
      <c r="A28" s="210" t="s">
        <v>61</v>
      </c>
      <c r="B28" s="19">
        <v>1546.3331787</v>
      </c>
      <c r="C28" s="19">
        <v>1546.3334106500001</v>
      </c>
      <c r="D28" s="19">
        <v>2255</v>
      </c>
      <c r="E28" s="19">
        <v>32008.144642596752</v>
      </c>
    </row>
    <row r="29" spans="1:5" x14ac:dyDescent="0.35">
      <c r="A29" s="210" t="s">
        <v>62</v>
      </c>
      <c r="B29" s="19">
        <v>1793.6664873</v>
      </c>
      <c r="C29" s="19">
        <v>1793.66675635</v>
      </c>
      <c r="D29" s="19">
        <v>0</v>
      </c>
      <c r="E29" s="19">
        <v>36549.21522858306</v>
      </c>
    </row>
    <row r="30" spans="1:5" x14ac:dyDescent="0.35">
      <c r="A30" s="210" t="s">
        <v>63</v>
      </c>
      <c r="B30" s="19">
        <v>1795.3331538</v>
      </c>
      <c r="C30" s="19">
        <v>1795.3334230999999</v>
      </c>
      <c r="D30" s="19">
        <v>2152</v>
      </c>
      <c r="E30" s="19">
        <v>45651.613990722428</v>
      </c>
    </row>
    <row r="31" spans="1:5" x14ac:dyDescent="0.35">
      <c r="A31" s="209" t="s">
        <v>64</v>
      </c>
      <c r="B31" s="19"/>
      <c r="C31" s="19">
        <v>2112.5</v>
      </c>
      <c r="D31" s="19">
        <v>2160</v>
      </c>
      <c r="E31" s="19">
        <v>34203.159055959033</v>
      </c>
    </row>
    <row r="32" spans="1:5" x14ac:dyDescent="0.35">
      <c r="A32" s="209" t="s">
        <v>65</v>
      </c>
      <c r="B32" s="19"/>
      <c r="C32" s="19">
        <v>932.5</v>
      </c>
      <c r="D32" s="19">
        <v>1968</v>
      </c>
      <c r="E32" s="19">
        <v>40449.656553893037</v>
      </c>
    </row>
    <row r="33" spans="1:5" x14ac:dyDescent="0.35">
      <c r="A33" s="209" t="s">
        <v>66</v>
      </c>
      <c r="B33" s="162"/>
      <c r="C33" s="19">
        <v>1597.5</v>
      </c>
      <c r="D33" s="162"/>
      <c r="E33" s="19">
        <v>9161.455253689528</v>
      </c>
    </row>
    <row r="34" spans="1:5" x14ac:dyDescent="0.35">
      <c r="A34" s="209" t="s">
        <v>67</v>
      </c>
      <c r="B34" s="162"/>
      <c r="C34" s="19">
        <v>1250</v>
      </c>
      <c r="D34" s="162"/>
      <c r="E34" s="19">
        <v>5637.0776043147252</v>
      </c>
    </row>
    <row r="35" spans="1:5" x14ac:dyDescent="0.35">
      <c r="A35" s="209" t="s">
        <v>68</v>
      </c>
      <c r="B35" s="162"/>
      <c r="C35" s="19">
        <v>867</v>
      </c>
      <c r="D35" s="162"/>
      <c r="E35" s="19">
        <v>5673.0635169103762</v>
      </c>
    </row>
    <row r="36" spans="1:5" x14ac:dyDescent="0.35">
      <c r="A36" s="209" t="s">
        <v>69</v>
      </c>
      <c r="B36" s="162"/>
      <c r="C36" s="19">
        <v>133</v>
      </c>
      <c r="D36" s="162"/>
      <c r="E36" s="19">
        <v>5835.4644161432761</v>
      </c>
    </row>
    <row r="37" spans="1:5" x14ac:dyDescent="0.35">
      <c r="A37" s="210" t="s">
        <v>70</v>
      </c>
      <c r="B37" s="162"/>
      <c r="C37" s="19">
        <v>726.5</v>
      </c>
      <c r="D37" s="162"/>
      <c r="E37" s="19">
        <v>7849.453309595202</v>
      </c>
    </row>
    <row r="38" spans="1:5" x14ac:dyDescent="0.35">
      <c r="A38" s="210" t="s">
        <v>71</v>
      </c>
      <c r="B38" s="162"/>
      <c r="C38" s="19">
        <v>1399</v>
      </c>
      <c r="D38" s="162"/>
      <c r="E38" s="19">
        <v>13845.925760869564</v>
      </c>
    </row>
    <row r="39" spans="1:5" x14ac:dyDescent="0.35">
      <c r="A39" s="209" t="s">
        <v>72</v>
      </c>
      <c r="B39" s="162"/>
      <c r="C39" s="19">
        <v>2013</v>
      </c>
      <c r="D39" s="162"/>
      <c r="E39" s="19">
        <v>3358.9252098950524</v>
      </c>
    </row>
    <row r="40" spans="1:5" ht="16" thickBot="1" x14ac:dyDescent="0.4">
      <c r="A40" s="209" t="s">
        <v>73</v>
      </c>
      <c r="B40" s="162"/>
      <c r="C40" s="19">
        <v>683.5</v>
      </c>
      <c r="D40" s="162"/>
      <c r="E40" s="19">
        <v>1982.8294977511243</v>
      </c>
    </row>
    <row r="41" spans="1:5" hidden="1" x14ac:dyDescent="0.35">
      <c r="A41" s="209"/>
      <c r="B41" s="162"/>
      <c r="C41" s="19"/>
      <c r="D41" s="162"/>
      <c r="E41" s="19"/>
    </row>
    <row r="42" spans="1:5" hidden="1" x14ac:dyDescent="0.35">
      <c r="A42" s="209"/>
      <c r="B42" s="162"/>
      <c r="C42" s="19"/>
      <c r="D42" s="162"/>
      <c r="E42" s="19"/>
    </row>
    <row r="43" spans="1:5" hidden="1" x14ac:dyDescent="0.35">
      <c r="A43" s="209"/>
      <c r="B43" s="162"/>
      <c r="C43" s="19"/>
      <c r="D43" s="162"/>
      <c r="E43" s="19"/>
    </row>
    <row r="44" spans="1:5" hidden="1" x14ac:dyDescent="0.35">
      <c r="A44" s="209"/>
      <c r="B44" s="162"/>
      <c r="C44" s="19"/>
      <c r="D44" s="162"/>
      <c r="E44" s="19"/>
    </row>
    <row r="45" spans="1:5" hidden="1" x14ac:dyDescent="0.35">
      <c r="A45" s="209"/>
      <c r="B45" s="203"/>
      <c r="C45" s="203"/>
      <c r="D45" s="203"/>
      <c r="E45" s="19"/>
    </row>
    <row r="46" spans="1:5" hidden="1" x14ac:dyDescent="0.35">
      <c r="A46" s="209"/>
      <c r="B46" s="203"/>
      <c r="C46" s="203"/>
      <c r="D46" s="203"/>
      <c r="E46" s="19"/>
    </row>
    <row r="47" spans="1:5" hidden="1" x14ac:dyDescent="0.35">
      <c r="A47" s="209"/>
      <c r="B47" s="203"/>
      <c r="C47" s="203"/>
      <c r="D47" s="203"/>
      <c r="E47" s="19"/>
    </row>
    <row r="48" spans="1:5" hidden="1" x14ac:dyDescent="0.35">
      <c r="A48" s="209"/>
      <c r="B48" s="203"/>
      <c r="C48" s="203"/>
      <c r="D48" s="203"/>
      <c r="E48" s="19"/>
    </row>
    <row r="49" spans="1:5" hidden="1" x14ac:dyDescent="0.35">
      <c r="A49" s="209"/>
      <c r="B49" s="203"/>
      <c r="C49" s="203"/>
      <c r="D49" s="203"/>
      <c r="E49" s="19"/>
    </row>
    <row r="50" spans="1:5" hidden="1" x14ac:dyDescent="0.35">
      <c r="A50" s="209"/>
      <c r="B50" s="203"/>
      <c r="C50" s="203"/>
      <c r="D50" s="203"/>
      <c r="E50" s="19"/>
    </row>
    <row r="51" spans="1:5" hidden="1" x14ac:dyDescent="0.35">
      <c r="A51" s="209"/>
      <c r="B51" s="203"/>
      <c r="C51" s="203"/>
      <c r="D51" s="203"/>
      <c r="E51" s="19"/>
    </row>
    <row r="52" spans="1:5" hidden="1" x14ac:dyDescent="0.35">
      <c r="A52" s="209"/>
      <c r="B52" s="203"/>
      <c r="C52" s="203"/>
      <c r="D52" s="203"/>
      <c r="E52" s="19"/>
    </row>
    <row r="53" spans="1:5" hidden="1" x14ac:dyDescent="0.35">
      <c r="A53" s="209"/>
      <c r="B53" s="203"/>
      <c r="C53" s="203"/>
      <c r="D53" s="203"/>
      <c r="E53" s="19"/>
    </row>
    <row r="54" spans="1:5" hidden="1" x14ac:dyDescent="0.35">
      <c r="A54" s="209"/>
      <c r="B54" s="203"/>
      <c r="C54" s="203"/>
      <c r="D54" s="203"/>
      <c r="E54" s="19"/>
    </row>
    <row r="55" spans="1:5" hidden="1" x14ac:dyDescent="0.35">
      <c r="A55" s="209"/>
      <c r="B55" s="203"/>
      <c r="C55" s="203"/>
      <c r="D55" s="203"/>
      <c r="E55" s="19"/>
    </row>
    <row r="56" spans="1:5" hidden="1" x14ac:dyDescent="0.35">
      <c r="A56" s="209"/>
      <c r="B56" s="203"/>
      <c r="C56" s="203"/>
      <c r="D56" s="203"/>
      <c r="E56" s="19"/>
    </row>
    <row r="57" spans="1:5" ht="16" hidden="1" thickBot="1" x14ac:dyDescent="0.4">
      <c r="A57" s="209"/>
      <c r="B57" s="203"/>
      <c r="C57" s="203"/>
      <c r="D57" s="203"/>
      <c r="E57" s="19"/>
    </row>
    <row r="58" spans="1:5" x14ac:dyDescent="0.35">
      <c r="A58" s="209" t="s">
        <v>347</v>
      </c>
      <c r="B58" s="27">
        <v>44884.995511500005</v>
      </c>
      <c r="C58" s="27">
        <v>56599.502244249998</v>
      </c>
      <c r="D58" s="27">
        <v>53050</v>
      </c>
      <c r="E58" s="211">
        <v>1263131.2189738229</v>
      </c>
    </row>
    <row r="59" spans="1:5" x14ac:dyDescent="0.35">
      <c r="A59" s="209"/>
      <c r="B59" s="203"/>
      <c r="C59" s="203"/>
      <c r="D59" s="203"/>
      <c r="E59" s="19"/>
    </row>
    <row r="60" spans="1:5" x14ac:dyDescent="0.35">
      <c r="A60" s="209"/>
      <c r="B60" s="203"/>
      <c r="C60" s="203"/>
      <c r="D60" s="203"/>
      <c r="E60" s="19"/>
    </row>
  </sheetData>
  <printOptions horizontalCentered="1"/>
  <pageMargins left="0.25" right="0.25" top="0.5" bottom="0.5" header="0.3" footer="0.3"/>
  <pageSetup scale="68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49" r:id="rId4" name="Button 1">
              <controlPr defaultSize="0" print="0" autoFill="0" autoPict="0" macro="[0]!pdfPage23">
                <anchor moveWithCells="1" sizeWithCells="1">
                  <from>
                    <xdr:col>0</xdr:col>
                    <xdr:colOff>12700</xdr:colOff>
                    <xdr:row>0</xdr:row>
                    <xdr:rowOff>12700</xdr:rowOff>
                  </from>
                  <to>
                    <xdr:col>0</xdr:col>
                    <xdr:colOff>19050</xdr:colOff>
                    <xdr:row>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650" r:id="rId5" name="Button 2">
              <controlPr defaultSize="0" print="0" autoFill="0" autoPict="0" macro="[0]!Print29">
                <anchor moveWithCells="1" sizeWithCells="1">
                  <from>
                    <xdr:col>0</xdr:col>
                    <xdr:colOff>12700</xdr:colOff>
                    <xdr:row>0</xdr:row>
                    <xdr:rowOff>19050</xdr:rowOff>
                  </from>
                  <to>
                    <xdr:col>0</xdr:col>
                    <xdr:colOff>19050</xdr:colOff>
                    <xdr:row>0</xdr:row>
                    <xdr:rowOff>31750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9C464-6D90-43EE-84D6-D4DAC1BE8744}">
  <sheetPr transitionEvaluation="1" transitionEntry="1" codeName="Sheet26"/>
  <dimension ref="A1:T97"/>
  <sheetViews>
    <sheetView defaultGridColor="0" colorId="22" zoomScale="87" zoomScaleNormal="87" zoomScaleSheetLayoutView="100" workbookViewId="0">
      <selection activeCell="E33" sqref="E33"/>
    </sheetView>
  </sheetViews>
  <sheetFormatPr defaultColWidth="9.58203125" defaultRowHeight="18.5" x14ac:dyDescent="0.45"/>
  <cols>
    <col min="1" max="1" width="31.25" style="218" bestFit="1" customWidth="1"/>
    <col min="2" max="2" width="32.5" style="59" bestFit="1" customWidth="1"/>
    <col min="3" max="3" width="8.25" style="59" bestFit="1" customWidth="1"/>
    <col min="4" max="4" width="16.5" style="59" bestFit="1" customWidth="1"/>
    <col min="5" max="5" width="14.25" style="59" customWidth="1"/>
    <col min="6" max="6" width="15.58203125" style="59" customWidth="1"/>
    <col min="7" max="7" width="3.5" style="59" customWidth="1"/>
    <col min="8" max="8" width="5" style="59" customWidth="1"/>
    <col min="9" max="9" width="3.58203125" style="59" customWidth="1"/>
    <col min="10" max="10" width="4.33203125" style="59" customWidth="1"/>
    <col min="11" max="11" width="17.58203125" style="59" customWidth="1"/>
    <col min="12" max="12" width="1.25" style="59" customWidth="1"/>
    <col min="13" max="13" width="13.58203125" style="59" customWidth="1"/>
    <col min="14" max="14" width="16.83203125" style="59" customWidth="1"/>
    <col min="15" max="15" width="1.33203125" style="59" customWidth="1"/>
    <col min="16" max="16384" width="9.58203125" style="59"/>
  </cols>
  <sheetData>
    <row r="1" spans="1:20" x14ac:dyDescent="0.45">
      <c r="A1" s="67" t="str">
        <f>Page_1!A1</f>
        <v>IRR 2023 Sch A-13 F.Z25.XLSM</v>
      </c>
      <c r="B1" s="32"/>
      <c r="C1" s="32"/>
      <c r="D1" s="33"/>
      <c r="E1" s="60"/>
      <c r="F1" s="33"/>
      <c r="G1" s="33"/>
      <c r="H1" s="33"/>
      <c r="I1" s="33"/>
      <c r="J1" s="33"/>
      <c r="K1" s="33"/>
      <c r="L1" s="33"/>
      <c r="M1" s="42"/>
      <c r="N1" s="42"/>
      <c r="O1" s="42"/>
    </row>
    <row r="2" spans="1:20" x14ac:dyDescent="0.45">
      <c r="A2" s="11" t="str">
        <f>Page_1!A2</f>
        <v>09/20/2022</v>
      </c>
      <c r="C2" s="33"/>
      <c r="D2" s="33"/>
      <c r="E2" s="60"/>
      <c r="F2" s="33"/>
      <c r="G2" s="33"/>
      <c r="H2" s="33"/>
      <c r="I2" s="33"/>
      <c r="J2" s="33"/>
      <c r="K2" s="33"/>
      <c r="L2" s="33"/>
      <c r="M2" s="42"/>
      <c r="N2" s="42"/>
      <c r="O2" s="42"/>
    </row>
    <row r="3" spans="1:20" x14ac:dyDescent="0.45">
      <c r="A3" s="12" t="str">
        <f>Page_1!A3</f>
        <v>CENTRAL VALLEY PROJECT</v>
      </c>
      <c r="B3" s="175"/>
      <c r="C3" s="33"/>
      <c r="D3" s="33"/>
      <c r="E3" s="60"/>
      <c r="F3" s="33"/>
      <c r="G3" s="33"/>
      <c r="H3" s="33"/>
      <c r="I3" s="33"/>
      <c r="J3" s="33"/>
      <c r="K3" s="33"/>
      <c r="L3" s="33"/>
      <c r="M3" s="33"/>
      <c r="N3" s="60"/>
      <c r="O3" s="33"/>
    </row>
    <row r="4" spans="1:20" ht="92.5" x14ac:dyDescent="0.45">
      <c r="A4" s="12" t="str">
        <f>Page_1!A4</f>
        <v>SCHEDULE OF HISTORICAL (1981-2021) &amp; PROJECTED (2022-2030) IRRIGATION WATER DELIVERIES (IN ACRE FEET)</v>
      </c>
      <c r="B4" s="175"/>
      <c r="C4" s="33"/>
      <c r="D4" s="33"/>
      <c r="E4" s="60"/>
      <c r="F4" s="33"/>
      <c r="G4" s="33"/>
      <c r="H4" s="33"/>
      <c r="I4" s="33"/>
      <c r="J4" s="33"/>
      <c r="K4" s="33"/>
      <c r="L4" s="33"/>
      <c r="M4" s="33"/>
      <c r="N4" s="60"/>
      <c r="O4" s="33"/>
    </row>
    <row r="5" spans="1:20" ht="74" x14ac:dyDescent="0.45">
      <c r="A5" s="31" t="str">
        <f>Page_1!A5</f>
        <v>FOR CALCULATION OF INDIVIDUAL CONTRACTOR PRORATED CONSTRUCTION COSTS AND RATE</v>
      </c>
      <c r="B5" s="454"/>
      <c r="C5" s="455"/>
      <c r="D5" s="456"/>
      <c r="E5" s="456"/>
      <c r="F5" s="456"/>
      <c r="G5" s="456"/>
      <c r="H5" s="456"/>
      <c r="I5" s="33"/>
      <c r="J5" s="33"/>
      <c r="K5" s="33"/>
      <c r="L5" s="33"/>
      <c r="M5" s="33"/>
      <c r="N5" s="33"/>
      <c r="O5" s="33"/>
    </row>
    <row r="6" spans="1:20" s="54" customFormat="1" ht="20.149999999999999" customHeight="1" x14ac:dyDescent="0.35">
      <c r="B6" s="90"/>
      <c r="C6" s="90"/>
      <c r="D6" s="90"/>
      <c r="G6" s="90"/>
      <c r="H6" s="90"/>
      <c r="I6" s="90"/>
      <c r="J6" s="90"/>
      <c r="K6" s="90"/>
      <c r="L6" s="90"/>
      <c r="M6" s="90"/>
      <c r="N6" s="90"/>
      <c r="O6" s="90"/>
      <c r="T6" s="90"/>
    </row>
    <row r="7" spans="1:20" s="54" customFormat="1" ht="17.25" customHeight="1" x14ac:dyDescent="0.35">
      <c r="A7" s="214" t="s">
        <v>362</v>
      </c>
      <c r="B7" s="214" t="s">
        <v>363</v>
      </c>
      <c r="C7" s="215" t="s">
        <v>364</v>
      </c>
      <c r="D7" s="214" t="s">
        <v>365</v>
      </c>
      <c r="G7" s="90"/>
      <c r="H7" s="90"/>
      <c r="I7" s="90"/>
      <c r="J7" s="90"/>
      <c r="K7" s="90"/>
      <c r="L7" s="90"/>
      <c r="M7" s="90"/>
      <c r="N7" s="90"/>
      <c r="O7" s="90"/>
    </row>
    <row r="8" spans="1:20" s="54" customFormat="1" ht="19.5" customHeight="1" x14ac:dyDescent="0.35">
      <c r="A8" s="90" t="s">
        <v>366</v>
      </c>
      <c r="B8" s="54" t="s">
        <v>367</v>
      </c>
      <c r="C8" s="216">
        <v>4695</v>
      </c>
      <c r="D8" s="54" t="s">
        <v>368</v>
      </c>
      <c r="G8" s="90"/>
      <c r="H8" s="90"/>
      <c r="I8" s="90"/>
      <c r="J8" s="90"/>
      <c r="K8" s="90"/>
      <c r="L8" s="90"/>
      <c r="M8" s="90"/>
      <c r="N8" s="90"/>
      <c r="O8" s="90"/>
    </row>
    <row r="9" spans="1:20" s="54" customFormat="1" ht="19.5" customHeight="1" x14ac:dyDescent="0.35">
      <c r="A9" s="90" t="s">
        <v>366</v>
      </c>
      <c r="B9" s="54" t="s">
        <v>369</v>
      </c>
      <c r="C9" s="216">
        <v>1565</v>
      </c>
      <c r="D9" s="54" t="s">
        <v>368</v>
      </c>
      <c r="L9" s="90"/>
      <c r="M9" s="90"/>
      <c r="N9" s="90"/>
      <c r="O9" s="90"/>
    </row>
    <row r="10" spans="1:20" s="54" customFormat="1" ht="19.5" customHeight="1" x14ac:dyDescent="0.35">
      <c r="A10" s="90" t="s">
        <v>366</v>
      </c>
      <c r="B10" s="54" t="s">
        <v>370</v>
      </c>
      <c r="C10" s="216">
        <v>4198</v>
      </c>
      <c r="D10" s="90" t="s">
        <v>371</v>
      </c>
      <c r="L10" s="90"/>
      <c r="M10" s="90"/>
      <c r="N10" s="90"/>
      <c r="O10" s="90"/>
    </row>
    <row r="11" spans="1:20" s="54" customFormat="1" ht="19.5" customHeight="1" x14ac:dyDescent="0.35">
      <c r="A11" s="90" t="s">
        <v>372</v>
      </c>
      <c r="B11" s="54" t="s">
        <v>367</v>
      </c>
      <c r="C11" s="216">
        <v>4000</v>
      </c>
      <c r="D11" s="90" t="s">
        <v>373</v>
      </c>
      <c r="L11" s="90"/>
      <c r="M11" s="90"/>
      <c r="N11" s="90"/>
      <c r="O11" s="90"/>
    </row>
    <row r="12" spans="1:20" s="54" customFormat="1" ht="19.5" customHeight="1" x14ac:dyDescent="0.35">
      <c r="A12" s="90" t="s">
        <v>374</v>
      </c>
      <c r="B12" s="90" t="s">
        <v>375</v>
      </c>
      <c r="C12" s="217">
        <v>1200</v>
      </c>
      <c r="D12" s="90" t="s">
        <v>376</v>
      </c>
      <c r="L12" s="90"/>
      <c r="M12" s="90"/>
      <c r="N12" s="90"/>
      <c r="O12" s="90"/>
    </row>
    <row r="13" spans="1:20" s="54" customFormat="1" ht="20.149999999999999" customHeight="1" x14ac:dyDescent="0.35">
      <c r="A13" s="90" t="s">
        <v>377</v>
      </c>
      <c r="B13" s="90" t="s">
        <v>378</v>
      </c>
      <c r="C13" s="217">
        <v>7400</v>
      </c>
      <c r="D13" s="90" t="s">
        <v>376</v>
      </c>
      <c r="G13" s="90"/>
      <c r="H13" s="90"/>
      <c r="L13" s="90"/>
      <c r="M13" s="90"/>
      <c r="N13" s="90"/>
      <c r="O13" s="90"/>
    </row>
    <row r="14" spans="1:20" s="54" customFormat="1" ht="20.149999999999999" customHeight="1" x14ac:dyDescent="0.35">
      <c r="A14" s="90" t="s">
        <v>379</v>
      </c>
      <c r="B14" s="90" t="s">
        <v>380</v>
      </c>
      <c r="C14" s="217">
        <v>5000</v>
      </c>
      <c r="D14" s="90" t="s">
        <v>373</v>
      </c>
      <c r="G14" s="90"/>
      <c r="H14" s="90"/>
      <c r="L14" s="90"/>
      <c r="M14" s="90"/>
      <c r="N14" s="90"/>
      <c r="O14" s="90"/>
    </row>
    <row r="15" spans="1:20" s="54" customFormat="1" ht="20.149999999999999" customHeight="1" x14ac:dyDescent="0.35">
      <c r="A15" s="90" t="s">
        <v>381</v>
      </c>
      <c r="B15" s="90" t="s">
        <v>382</v>
      </c>
      <c r="C15" s="217">
        <v>2500</v>
      </c>
      <c r="D15" s="90" t="s">
        <v>383</v>
      </c>
      <c r="G15" s="90"/>
      <c r="H15" s="90"/>
      <c r="L15" s="90"/>
      <c r="M15" s="90"/>
      <c r="N15" s="90"/>
      <c r="O15" s="90"/>
    </row>
    <row r="16" spans="1:20" s="54" customFormat="1" ht="20.149999999999999" customHeight="1" x14ac:dyDescent="0.35">
      <c r="A16" s="90" t="s">
        <v>381</v>
      </c>
      <c r="B16" s="90" t="s">
        <v>382</v>
      </c>
      <c r="C16" s="217">
        <v>2500</v>
      </c>
      <c r="D16" s="90" t="s">
        <v>384</v>
      </c>
      <c r="G16" s="90"/>
      <c r="H16" s="90"/>
      <c r="L16" s="90"/>
      <c r="M16" s="90"/>
      <c r="N16" s="90"/>
      <c r="O16" s="90"/>
    </row>
    <row r="17" spans="1:15" s="54" customFormat="1" ht="20.149999999999999" customHeight="1" x14ac:dyDescent="0.35">
      <c r="A17" s="90" t="s">
        <v>385</v>
      </c>
      <c r="B17" s="90" t="s">
        <v>382</v>
      </c>
      <c r="C17" s="217">
        <v>5000</v>
      </c>
      <c r="D17" s="90" t="s">
        <v>383</v>
      </c>
      <c r="G17" s="90"/>
      <c r="H17" s="90"/>
      <c r="L17" s="90"/>
      <c r="M17" s="90"/>
      <c r="N17" s="90"/>
      <c r="O17" s="90"/>
    </row>
    <row r="18" spans="1:15" s="54" customFormat="1" ht="20.149999999999999" customHeight="1" x14ac:dyDescent="0.35">
      <c r="A18" s="90" t="s">
        <v>386</v>
      </c>
      <c r="B18" s="90" t="s">
        <v>387</v>
      </c>
      <c r="C18" s="217">
        <v>400</v>
      </c>
      <c r="D18" s="90" t="s">
        <v>388</v>
      </c>
      <c r="G18" s="90"/>
      <c r="H18" s="90"/>
      <c r="L18" s="90"/>
      <c r="M18" s="90"/>
      <c r="N18" s="90"/>
      <c r="O18" s="90"/>
    </row>
    <row r="19" spans="1:15" s="54" customFormat="1" ht="20.149999999999999" customHeight="1" x14ac:dyDescent="0.35">
      <c r="A19" s="90" t="s">
        <v>389</v>
      </c>
      <c r="B19" s="90" t="s">
        <v>390</v>
      </c>
      <c r="C19" s="217">
        <v>250</v>
      </c>
      <c r="D19" s="90" t="s">
        <v>391</v>
      </c>
      <c r="G19" s="90"/>
      <c r="H19" s="90"/>
      <c r="L19" s="90"/>
      <c r="M19" s="90"/>
      <c r="N19" s="90"/>
      <c r="O19" s="90"/>
    </row>
    <row r="20" spans="1:15" s="54" customFormat="1" ht="20.149999999999999" customHeight="1" x14ac:dyDescent="0.35">
      <c r="A20" s="90" t="s">
        <v>355</v>
      </c>
      <c r="B20" s="90" t="s">
        <v>390</v>
      </c>
      <c r="C20" s="217">
        <v>1000</v>
      </c>
      <c r="D20" s="90" t="s">
        <v>392</v>
      </c>
      <c r="G20" s="90"/>
      <c r="H20" s="90"/>
      <c r="L20" s="90"/>
      <c r="M20" s="90"/>
      <c r="N20" s="90"/>
      <c r="O20" s="90"/>
    </row>
    <row r="21" spans="1:15" s="54" customFormat="1" ht="20.149999999999999" customHeight="1" x14ac:dyDescent="0.35">
      <c r="A21" s="90" t="s">
        <v>393</v>
      </c>
      <c r="B21" s="90" t="s">
        <v>394</v>
      </c>
      <c r="C21" s="217">
        <v>300</v>
      </c>
      <c r="D21" s="90" t="s">
        <v>392</v>
      </c>
      <c r="G21" s="90"/>
      <c r="H21" s="90"/>
      <c r="L21" s="90"/>
      <c r="M21" s="90"/>
      <c r="N21" s="90"/>
      <c r="O21" s="90"/>
    </row>
    <row r="22" spans="1:15" s="54" customFormat="1" ht="20.149999999999999" customHeight="1" thickBot="1" x14ac:dyDescent="0.5">
      <c r="A22" s="212" t="s">
        <v>359</v>
      </c>
      <c r="B22" s="90"/>
      <c r="G22" s="90"/>
      <c r="H22" s="90"/>
      <c r="L22" s="90"/>
      <c r="M22" s="90"/>
      <c r="N22" s="90"/>
      <c r="O22" s="90"/>
    </row>
    <row r="23" spans="1:15" s="54" customFormat="1" ht="20.149999999999999" customHeight="1" x14ac:dyDescent="0.35">
      <c r="A23" s="213" t="s">
        <v>360</v>
      </c>
      <c r="B23" s="90"/>
      <c r="C23" s="90"/>
      <c r="D23" s="90"/>
      <c r="E23" s="90"/>
      <c r="F23" s="90"/>
      <c r="G23" s="90"/>
      <c r="H23" s="90"/>
      <c r="L23" s="90"/>
      <c r="M23" s="90"/>
      <c r="N23" s="90"/>
      <c r="O23" s="90"/>
    </row>
    <row r="24" spans="1:15" s="54" customFormat="1" ht="20.149999999999999" customHeight="1" x14ac:dyDescent="0.35">
      <c r="A24" s="92" t="s">
        <v>361</v>
      </c>
      <c r="B24" s="90"/>
      <c r="C24" s="90"/>
      <c r="D24" s="90"/>
      <c r="E24" s="90"/>
      <c r="F24" s="90"/>
      <c r="G24" s="90"/>
      <c r="H24" s="90"/>
      <c r="L24" s="90"/>
      <c r="M24" s="90"/>
      <c r="N24" s="90"/>
      <c r="O24" s="90"/>
    </row>
    <row r="25" spans="1:15" s="54" customFormat="1" ht="20.149999999999999" customHeight="1" x14ac:dyDescent="0.35">
      <c r="A25" s="90" t="s">
        <v>395</v>
      </c>
      <c r="C25" s="90"/>
      <c r="D25" s="90"/>
      <c r="E25" s="90"/>
      <c r="F25" s="90"/>
      <c r="G25" s="90"/>
      <c r="H25" s="90"/>
      <c r="L25" s="90"/>
      <c r="M25" s="90"/>
      <c r="N25" s="90"/>
      <c r="O25" s="90"/>
    </row>
    <row r="26" spans="1:15" s="54" customFormat="1" ht="20.149999999999999" customHeight="1" x14ac:dyDescent="0.35">
      <c r="A26" s="214" t="s">
        <v>396</v>
      </c>
      <c r="B26" s="214" t="s">
        <v>397</v>
      </c>
      <c r="C26" s="90"/>
      <c r="D26" s="90"/>
      <c r="E26" s="90"/>
      <c r="F26" s="90"/>
      <c r="G26" s="90"/>
      <c r="H26" s="90"/>
      <c r="L26" s="90"/>
      <c r="M26" s="90"/>
      <c r="N26" s="90"/>
      <c r="O26" s="90"/>
    </row>
    <row r="27" spans="1:15" s="54" customFormat="1" ht="20.149999999999999" customHeight="1" x14ac:dyDescent="0.35">
      <c r="A27" s="6" t="s">
        <v>398</v>
      </c>
      <c r="B27" s="6" t="s">
        <v>399</v>
      </c>
      <c r="E27" s="90"/>
      <c r="F27" s="90"/>
      <c r="G27" s="90"/>
      <c r="H27" s="90"/>
      <c r="L27" s="90"/>
      <c r="M27" s="90"/>
      <c r="N27" s="90"/>
      <c r="O27" s="90"/>
    </row>
    <row r="28" spans="1:15" s="54" customFormat="1" ht="20.149999999999999" customHeight="1" x14ac:dyDescent="0.35">
      <c r="A28" s="54" t="s">
        <v>400</v>
      </c>
      <c r="B28" s="54" t="s">
        <v>401</v>
      </c>
      <c r="E28" s="90"/>
      <c r="F28" s="90"/>
      <c r="G28" s="90"/>
      <c r="H28" s="90"/>
      <c r="L28" s="90"/>
      <c r="M28" s="90"/>
      <c r="N28" s="90"/>
      <c r="O28" s="90"/>
    </row>
    <row r="29" spans="1:15" s="54" customFormat="1" ht="20.149999999999999" customHeight="1" x14ac:dyDescent="0.35">
      <c r="A29" s="90" t="s">
        <v>402</v>
      </c>
      <c r="B29" s="90" t="s">
        <v>403</v>
      </c>
      <c r="E29" s="90"/>
      <c r="F29" s="90"/>
      <c r="G29" s="90"/>
      <c r="H29" s="90"/>
      <c r="L29" s="90"/>
      <c r="M29" s="90"/>
      <c r="N29" s="90"/>
      <c r="O29" s="90"/>
    </row>
    <row r="30" spans="1:15" s="54" customFormat="1" ht="20.149999999999999" customHeight="1" x14ac:dyDescent="0.35">
      <c r="A30" s="213"/>
      <c r="B30" s="90"/>
      <c r="E30" s="90"/>
      <c r="F30" s="90"/>
      <c r="G30" s="90"/>
      <c r="H30" s="90"/>
      <c r="L30" s="90"/>
      <c r="M30" s="90"/>
      <c r="N30" s="90"/>
      <c r="O30" s="90"/>
    </row>
    <row r="31" spans="1:15" s="54" customFormat="1" ht="20.149999999999999" customHeight="1" x14ac:dyDescent="0.35">
      <c r="A31" s="213"/>
      <c r="B31" s="90"/>
      <c r="C31" s="90"/>
      <c r="D31" s="90"/>
      <c r="E31" s="90"/>
      <c r="F31" s="90"/>
      <c r="G31" s="90"/>
      <c r="H31" s="90"/>
      <c r="L31" s="90"/>
      <c r="M31" s="90"/>
      <c r="N31" s="90"/>
      <c r="O31" s="90"/>
    </row>
    <row r="32" spans="1:15" s="54" customFormat="1" ht="20.149999999999999" customHeight="1" x14ac:dyDescent="0.35">
      <c r="A32" s="213"/>
      <c r="B32" s="90"/>
      <c r="C32" s="90"/>
      <c r="D32" s="90"/>
      <c r="E32" s="90"/>
      <c r="F32" s="90"/>
      <c r="G32" s="90"/>
      <c r="H32" s="90"/>
      <c r="L32" s="90"/>
      <c r="M32" s="90"/>
      <c r="N32" s="90"/>
      <c r="O32" s="90"/>
    </row>
    <row r="33" spans="1:16" s="54" customFormat="1" ht="20.149999999999999" customHeight="1" x14ac:dyDescent="0.35">
      <c r="A33" s="213"/>
      <c r="B33" s="90"/>
      <c r="C33" s="90"/>
      <c r="D33" s="90"/>
      <c r="E33" s="90"/>
      <c r="F33" s="90"/>
      <c r="G33" s="90"/>
      <c r="H33" s="90"/>
      <c r="L33" s="90"/>
      <c r="M33" s="90"/>
      <c r="N33" s="90"/>
      <c r="O33" s="90"/>
    </row>
    <row r="34" spans="1:16" s="54" customFormat="1" ht="20.149999999999999" customHeight="1" x14ac:dyDescent="0.35">
      <c r="A34" s="213"/>
      <c r="B34" s="90"/>
      <c r="C34" s="90"/>
      <c r="D34" s="90"/>
      <c r="E34" s="90"/>
      <c r="F34" s="90"/>
      <c r="G34" s="90"/>
      <c r="H34" s="90"/>
      <c r="L34" s="90"/>
      <c r="M34" s="90"/>
      <c r="N34" s="90"/>
      <c r="O34" s="90"/>
    </row>
    <row r="35" spans="1:16" s="54" customFormat="1" ht="20.149999999999999" customHeight="1" x14ac:dyDescent="0.35">
      <c r="A35" s="213"/>
      <c r="B35" s="90"/>
      <c r="C35" s="90"/>
      <c r="D35" s="90"/>
      <c r="E35" s="90"/>
      <c r="F35" s="90"/>
      <c r="G35" s="90"/>
      <c r="H35" s="90"/>
      <c r="L35" s="90"/>
      <c r="M35" s="90"/>
      <c r="N35" s="90"/>
      <c r="O35" s="90"/>
    </row>
    <row r="36" spans="1:16" s="54" customFormat="1" ht="20.149999999999999" customHeight="1" x14ac:dyDescent="0.35">
      <c r="A36" s="213"/>
      <c r="B36" s="90"/>
      <c r="E36" s="90"/>
      <c r="F36" s="90"/>
      <c r="G36" s="90"/>
      <c r="H36" s="90"/>
      <c r="L36" s="90"/>
      <c r="M36" s="90"/>
      <c r="N36" s="90"/>
      <c r="O36" s="90"/>
    </row>
    <row r="37" spans="1:16" s="54" customFormat="1" ht="20.149999999999999" customHeight="1" x14ac:dyDescent="0.35">
      <c r="A37" s="213"/>
      <c r="B37" s="90"/>
      <c r="E37" s="90"/>
      <c r="F37" s="90"/>
      <c r="G37" s="90"/>
      <c r="H37" s="90"/>
      <c r="L37" s="90"/>
      <c r="M37" s="90"/>
      <c r="N37" s="90"/>
      <c r="O37" s="90"/>
    </row>
    <row r="38" spans="1:16" s="54" customFormat="1" ht="20.149999999999999" customHeight="1" x14ac:dyDescent="0.35">
      <c r="A38" s="213"/>
      <c r="B38" s="90"/>
      <c r="E38" s="90"/>
      <c r="F38" s="90"/>
      <c r="G38" s="90"/>
      <c r="H38" s="90"/>
      <c r="L38" s="90"/>
      <c r="M38" s="90"/>
      <c r="N38" s="90"/>
      <c r="O38" s="90"/>
    </row>
    <row r="39" spans="1:16" s="54" customFormat="1" ht="20.149999999999999" customHeight="1" x14ac:dyDescent="0.35">
      <c r="A39" s="213"/>
      <c r="B39" s="90"/>
      <c r="E39" s="90"/>
      <c r="F39" s="90"/>
      <c r="G39" s="90"/>
      <c r="H39" s="90"/>
      <c r="L39" s="90"/>
      <c r="M39" s="90"/>
      <c r="N39" s="90"/>
      <c r="O39" s="90"/>
    </row>
    <row r="40" spans="1:16" s="54" customFormat="1" ht="20.149999999999999" customHeight="1" x14ac:dyDescent="0.35">
      <c r="A40" s="213"/>
      <c r="B40" s="90"/>
      <c r="C40" s="90"/>
      <c r="D40" s="90"/>
      <c r="E40" s="90"/>
      <c r="F40" s="90"/>
      <c r="G40" s="90"/>
      <c r="H40" s="90"/>
      <c r="L40" s="90"/>
      <c r="M40" s="90"/>
      <c r="N40" s="90"/>
      <c r="O40" s="90"/>
    </row>
    <row r="41" spans="1:16" s="54" customFormat="1" ht="20.149999999999999" customHeight="1" x14ac:dyDescent="0.35">
      <c r="A41" s="213"/>
      <c r="B41" s="90"/>
      <c r="C41" s="90"/>
      <c r="D41" s="90"/>
      <c r="E41" s="90"/>
      <c r="F41" s="90"/>
      <c r="G41" s="90"/>
      <c r="H41" s="90"/>
      <c r="L41" s="90"/>
      <c r="M41" s="90"/>
      <c r="N41" s="90"/>
      <c r="O41" s="90"/>
    </row>
    <row r="42" spans="1:16" s="54" customFormat="1" ht="20.149999999999999" customHeight="1" x14ac:dyDescent="0.35">
      <c r="A42" s="213"/>
      <c r="B42" s="90"/>
      <c r="C42" s="90"/>
      <c r="D42" s="90"/>
      <c r="E42" s="90"/>
      <c r="F42" s="90"/>
      <c r="G42" s="90"/>
      <c r="H42" s="90"/>
      <c r="L42" s="90"/>
      <c r="M42" s="90"/>
      <c r="N42" s="90"/>
      <c r="O42" s="90"/>
    </row>
    <row r="43" spans="1:16" s="54" customFormat="1" ht="20.149999999999999" customHeight="1" x14ac:dyDescent="0.35">
      <c r="A43" s="213"/>
      <c r="B43" s="90"/>
      <c r="C43" s="90"/>
      <c r="D43" s="90"/>
      <c r="E43" s="90"/>
      <c r="F43" s="90"/>
      <c r="G43" s="90"/>
      <c r="H43" s="90"/>
      <c r="L43" s="90"/>
      <c r="M43" s="90"/>
      <c r="N43" s="90"/>
      <c r="O43" s="90"/>
    </row>
    <row r="44" spans="1:16" s="54" customFormat="1" ht="20.149999999999999" customHeight="1" x14ac:dyDescent="0.35">
      <c r="A44" s="213"/>
      <c r="B44" s="90"/>
      <c r="C44" s="90"/>
      <c r="D44" s="90"/>
      <c r="E44" s="90"/>
      <c r="F44" s="90"/>
      <c r="G44" s="90"/>
      <c r="H44" s="90"/>
      <c r="L44" s="90"/>
      <c r="M44" s="90"/>
      <c r="N44" s="90"/>
      <c r="O44" s="90"/>
      <c r="P44" s="54" t="s">
        <v>404</v>
      </c>
    </row>
    <row r="45" spans="1:16" s="54" customFormat="1" ht="20.149999999999999" customHeight="1" x14ac:dyDescent="0.35">
      <c r="A45" s="213"/>
      <c r="B45" s="90"/>
      <c r="C45" s="90"/>
      <c r="D45" s="90"/>
      <c r="E45" s="90"/>
      <c r="F45" s="90"/>
      <c r="G45" s="90"/>
      <c r="H45" s="90"/>
      <c r="L45" s="90"/>
      <c r="M45" s="90"/>
      <c r="N45" s="90"/>
      <c r="O45" s="90"/>
    </row>
    <row r="46" spans="1:16" s="54" customFormat="1" ht="20.149999999999999" customHeight="1" x14ac:dyDescent="0.35">
      <c r="A46" s="213"/>
      <c r="B46" s="90"/>
      <c r="C46" s="90"/>
      <c r="D46" s="90"/>
      <c r="E46" s="90"/>
      <c r="F46" s="90"/>
      <c r="G46" s="90"/>
      <c r="H46" s="90"/>
      <c r="L46" s="90"/>
      <c r="M46" s="90"/>
      <c r="N46" s="90"/>
      <c r="O46" s="90"/>
    </row>
    <row r="47" spans="1:16" s="54" customFormat="1" ht="20.149999999999999" customHeight="1" x14ac:dyDescent="0.35">
      <c r="A47" s="213"/>
      <c r="B47" s="90"/>
      <c r="C47" s="90"/>
      <c r="D47" s="90"/>
      <c r="E47" s="90"/>
      <c r="F47" s="90"/>
      <c r="G47" s="90"/>
      <c r="H47" s="90"/>
      <c r="L47" s="90"/>
      <c r="M47" s="90"/>
      <c r="N47" s="90"/>
      <c r="O47" s="90"/>
    </row>
    <row r="48" spans="1:16" s="54" customFormat="1" ht="20.149999999999999" customHeight="1" x14ac:dyDescent="0.35">
      <c r="A48" s="213"/>
      <c r="B48" s="90"/>
      <c r="C48" s="90"/>
      <c r="D48" s="90"/>
      <c r="E48" s="90"/>
      <c r="F48" s="90"/>
      <c r="G48" s="90"/>
      <c r="H48" s="90"/>
      <c r="L48" s="90"/>
      <c r="M48" s="90"/>
      <c r="N48" s="90"/>
      <c r="O48" s="90"/>
    </row>
    <row r="49" spans="1:15" s="54" customFormat="1" ht="20.149999999999999" customHeight="1" x14ac:dyDescent="0.35">
      <c r="A49" s="213"/>
      <c r="B49" s="90"/>
      <c r="C49" s="90"/>
      <c r="D49" s="90"/>
      <c r="E49" s="90"/>
      <c r="F49" s="90"/>
      <c r="G49" s="90"/>
      <c r="H49" s="90"/>
      <c r="L49" s="90"/>
      <c r="M49" s="90"/>
      <c r="N49" s="90"/>
      <c r="O49" s="90"/>
    </row>
    <row r="50" spans="1:15" s="54" customFormat="1" ht="20.149999999999999" customHeight="1" x14ac:dyDescent="0.35">
      <c r="A50" s="213"/>
      <c r="B50" s="90"/>
      <c r="C50" s="90"/>
      <c r="D50" s="90"/>
      <c r="E50" s="90"/>
      <c r="F50" s="90"/>
      <c r="G50" s="90"/>
      <c r="H50" s="90"/>
      <c r="L50" s="90"/>
      <c r="M50" s="90"/>
      <c r="N50" s="90"/>
      <c r="O50" s="90"/>
    </row>
    <row r="51" spans="1:15" s="54" customFormat="1" ht="20.149999999999999" customHeight="1" x14ac:dyDescent="0.35">
      <c r="A51" s="213"/>
      <c r="B51" s="90"/>
      <c r="C51" s="90"/>
      <c r="D51" s="90"/>
      <c r="E51" s="90"/>
      <c r="F51" s="90"/>
      <c r="G51" s="90"/>
      <c r="H51" s="90"/>
      <c r="L51" s="90"/>
      <c r="M51" s="90"/>
      <c r="N51" s="90"/>
      <c r="O51" s="90"/>
    </row>
    <row r="52" spans="1:15" s="54" customFormat="1" ht="20.149999999999999" customHeight="1" x14ac:dyDescent="0.35">
      <c r="A52" s="213"/>
      <c r="B52" s="90"/>
      <c r="C52" s="90"/>
      <c r="D52" s="90"/>
      <c r="E52" s="90"/>
      <c r="F52" s="90"/>
      <c r="G52" s="90"/>
      <c r="H52" s="90"/>
      <c r="L52" s="90"/>
      <c r="M52" s="90"/>
      <c r="N52" s="90"/>
      <c r="O52" s="90"/>
    </row>
    <row r="53" spans="1:15" s="54" customFormat="1" ht="20.149999999999999" customHeight="1" x14ac:dyDescent="0.35">
      <c r="A53" s="213"/>
      <c r="B53" s="90"/>
      <c r="C53" s="90"/>
      <c r="D53" s="90"/>
      <c r="E53" s="90"/>
      <c r="F53" s="90"/>
      <c r="G53" s="90"/>
      <c r="H53" s="90"/>
      <c r="L53" s="90"/>
      <c r="M53" s="90"/>
      <c r="N53" s="90"/>
      <c r="O53" s="90"/>
    </row>
    <row r="54" spans="1:15" s="54" customFormat="1" ht="20.149999999999999" customHeight="1" x14ac:dyDescent="0.35">
      <c r="A54" s="213"/>
      <c r="B54" s="90"/>
      <c r="C54" s="90"/>
      <c r="D54" s="90"/>
      <c r="E54" s="90"/>
      <c r="F54" s="90"/>
      <c r="G54" s="90"/>
      <c r="H54" s="90"/>
      <c r="L54" s="90"/>
      <c r="M54" s="90"/>
      <c r="N54" s="90"/>
      <c r="O54" s="90"/>
    </row>
    <row r="55" spans="1:15" s="54" customFormat="1" ht="20.149999999999999" customHeight="1" x14ac:dyDescent="0.35">
      <c r="A55" s="213"/>
      <c r="B55" s="90"/>
      <c r="C55" s="90"/>
      <c r="D55" s="90"/>
      <c r="E55" s="90"/>
      <c r="F55" s="90"/>
      <c r="G55" s="90"/>
      <c r="H55" s="90"/>
      <c r="L55" s="90"/>
      <c r="M55" s="90"/>
      <c r="N55" s="90"/>
      <c r="O55" s="90"/>
    </row>
    <row r="56" spans="1:15" s="54" customFormat="1" ht="20.149999999999999" customHeight="1" x14ac:dyDescent="0.35">
      <c r="A56" s="213"/>
      <c r="B56" s="90"/>
      <c r="C56" s="90"/>
      <c r="D56" s="90"/>
      <c r="E56" s="90"/>
      <c r="F56" s="90"/>
      <c r="G56" s="90"/>
      <c r="H56" s="90"/>
      <c r="L56" s="90"/>
      <c r="M56" s="90"/>
      <c r="N56" s="90"/>
      <c r="O56" s="90"/>
    </row>
    <row r="57" spans="1:15" s="54" customFormat="1" ht="20.149999999999999" customHeight="1" x14ac:dyDescent="0.35">
      <c r="A57" s="213"/>
      <c r="B57" s="90"/>
      <c r="C57" s="90"/>
      <c r="D57" s="90"/>
      <c r="E57" s="90"/>
      <c r="F57" s="90"/>
      <c r="G57" s="90"/>
      <c r="H57" s="90"/>
      <c r="L57" s="90"/>
      <c r="M57" s="90"/>
      <c r="N57" s="90"/>
      <c r="O57" s="90"/>
    </row>
    <row r="58" spans="1:15" s="54" customFormat="1" ht="20.149999999999999" customHeight="1" x14ac:dyDescent="0.35">
      <c r="A58" s="213"/>
      <c r="B58" s="90"/>
      <c r="C58" s="90"/>
      <c r="D58" s="90"/>
      <c r="E58" s="90"/>
      <c r="F58" s="90"/>
      <c r="G58" s="90"/>
      <c r="H58" s="90"/>
      <c r="L58" s="90"/>
      <c r="M58" s="90"/>
      <c r="N58" s="90"/>
      <c r="O58" s="90"/>
    </row>
    <row r="59" spans="1:15" s="54" customFormat="1" ht="20.149999999999999" customHeight="1" x14ac:dyDescent="0.35">
      <c r="A59" s="213"/>
      <c r="B59" s="90"/>
      <c r="C59" s="90"/>
      <c r="D59" s="90"/>
      <c r="E59" s="90"/>
      <c r="F59" s="90"/>
      <c r="G59" s="90"/>
      <c r="H59" s="90"/>
      <c r="L59" s="90"/>
      <c r="M59" s="90"/>
      <c r="N59" s="90"/>
      <c r="O59" s="90"/>
    </row>
    <row r="60" spans="1:15" s="54" customFormat="1" ht="20.149999999999999" customHeight="1" x14ac:dyDescent="0.35">
      <c r="A60" s="213"/>
      <c r="B60" s="90"/>
      <c r="C60" s="90"/>
      <c r="D60" s="90"/>
      <c r="E60" s="90"/>
      <c r="F60" s="90"/>
      <c r="G60" s="90"/>
      <c r="H60" s="90"/>
      <c r="L60" s="90"/>
      <c r="M60" s="90"/>
      <c r="N60" s="90"/>
      <c r="O60" s="90"/>
    </row>
    <row r="61" spans="1:15" s="54" customFormat="1" ht="20.149999999999999" customHeight="1" x14ac:dyDescent="0.35">
      <c r="A61" s="213"/>
      <c r="B61" s="90"/>
      <c r="C61" s="90"/>
      <c r="D61" s="90"/>
      <c r="E61" s="90"/>
      <c r="F61" s="90"/>
      <c r="G61" s="90"/>
      <c r="H61" s="90"/>
      <c r="L61" s="90"/>
      <c r="M61" s="90"/>
      <c r="N61" s="90"/>
      <c r="O61" s="90"/>
    </row>
    <row r="62" spans="1:15" s="54" customFormat="1" ht="20.149999999999999" customHeight="1" x14ac:dyDescent="0.35">
      <c r="A62" s="213"/>
      <c r="B62" s="90"/>
      <c r="C62" s="90"/>
      <c r="D62" s="90"/>
      <c r="E62" s="90"/>
      <c r="F62" s="90"/>
      <c r="G62" s="90"/>
      <c r="H62" s="90"/>
      <c r="L62" s="90"/>
      <c r="M62" s="90"/>
      <c r="N62" s="90"/>
      <c r="O62" s="90"/>
    </row>
    <row r="63" spans="1:15" s="54" customFormat="1" ht="20.149999999999999" customHeight="1" x14ac:dyDescent="0.35">
      <c r="A63" s="213"/>
      <c r="B63" s="90"/>
      <c r="C63" s="90"/>
      <c r="D63" s="90"/>
      <c r="E63" s="90"/>
      <c r="F63" s="90"/>
      <c r="G63" s="90"/>
      <c r="H63" s="90"/>
      <c r="L63" s="90"/>
      <c r="M63" s="90"/>
      <c r="N63" s="90"/>
      <c r="O63" s="90"/>
    </row>
    <row r="64" spans="1:15" s="54" customFormat="1" ht="20.149999999999999" customHeight="1" x14ac:dyDescent="0.35">
      <c r="A64" s="213"/>
      <c r="B64" s="90"/>
      <c r="C64" s="90"/>
      <c r="D64" s="90"/>
      <c r="E64" s="90"/>
      <c r="F64" s="90"/>
      <c r="G64" s="90"/>
      <c r="H64" s="90"/>
      <c r="L64" s="90"/>
      <c r="M64" s="90"/>
      <c r="N64" s="90"/>
      <c r="O64" s="90"/>
    </row>
    <row r="65" spans="1:15" s="54" customFormat="1" ht="20.149999999999999" customHeight="1" x14ac:dyDescent="0.35">
      <c r="A65" s="213"/>
      <c r="B65" s="90"/>
      <c r="C65" s="90"/>
      <c r="D65" s="90"/>
      <c r="E65" s="90"/>
      <c r="F65" s="90"/>
      <c r="G65" s="90"/>
      <c r="H65" s="90"/>
      <c r="L65" s="90"/>
      <c r="M65" s="90"/>
      <c r="N65" s="90"/>
      <c r="O65" s="90"/>
    </row>
    <row r="66" spans="1:15" s="54" customFormat="1" ht="20.149999999999999" customHeight="1" x14ac:dyDescent="0.35">
      <c r="A66" s="213"/>
      <c r="B66" s="90"/>
      <c r="C66" s="90"/>
      <c r="D66" s="90"/>
      <c r="E66" s="90"/>
      <c r="F66" s="90"/>
      <c r="G66" s="90"/>
      <c r="H66" s="90"/>
      <c r="L66" s="90"/>
      <c r="M66" s="90"/>
      <c r="N66" s="90"/>
      <c r="O66" s="90"/>
    </row>
    <row r="67" spans="1:15" s="54" customFormat="1" ht="20.149999999999999" customHeight="1" x14ac:dyDescent="0.35">
      <c r="A67" s="213"/>
      <c r="B67" s="90"/>
      <c r="C67" s="90"/>
      <c r="D67" s="90"/>
      <c r="E67" s="90"/>
      <c r="F67" s="90"/>
      <c r="G67" s="90"/>
      <c r="H67" s="90"/>
      <c r="L67" s="90"/>
      <c r="M67" s="90"/>
      <c r="N67" s="90"/>
      <c r="O67" s="90"/>
    </row>
    <row r="68" spans="1:15" s="54" customFormat="1" ht="20.149999999999999" customHeight="1" x14ac:dyDescent="0.35">
      <c r="A68" s="213"/>
      <c r="B68" s="90"/>
      <c r="C68" s="90"/>
      <c r="D68" s="90"/>
      <c r="E68" s="90"/>
      <c r="F68" s="90"/>
      <c r="G68" s="90"/>
      <c r="H68" s="90"/>
      <c r="L68" s="90"/>
      <c r="M68" s="90"/>
      <c r="N68" s="90"/>
      <c r="O68" s="90"/>
    </row>
    <row r="69" spans="1:15" s="54" customFormat="1" ht="20.149999999999999" customHeight="1" x14ac:dyDescent="0.35">
      <c r="A69" s="213"/>
      <c r="B69" s="90"/>
      <c r="C69" s="90"/>
      <c r="D69" s="90"/>
      <c r="E69" s="90"/>
      <c r="F69" s="90"/>
      <c r="G69" s="90"/>
      <c r="H69" s="90"/>
      <c r="L69" s="90"/>
      <c r="M69" s="90"/>
      <c r="N69" s="90"/>
      <c r="O69" s="90"/>
    </row>
    <row r="70" spans="1:15" s="54" customFormat="1" ht="20.149999999999999" customHeight="1" x14ac:dyDescent="0.35">
      <c r="A70" s="213"/>
      <c r="B70" s="90"/>
      <c r="C70" s="90"/>
      <c r="D70" s="90"/>
      <c r="E70" s="90"/>
      <c r="F70" s="90"/>
      <c r="G70" s="90"/>
      <c r="H70" s="90"/>
      <c r="L70" s="90"/>
      <c r="M70" s="90"/>
      <c r="N70" s="90"/>
      <c r="O70" s="90"/>
    </row>
    <row r="71" spans="1:15" s="54" customFormat="1" ht="20.149999999999999" customHeight="1" x14ac:dyDescent="0.35">
      <c r="A71" s="213"/>
      <c r="B71" s="90"/>
      <c r="C71" s="90"/>
      <c r="D71" s="90"/>
      <c r="E71" s="90"/>
      <c r="F71" s="90"/>
      <c r="G71" s="90"/>
      <c r="H71" s="90"/>
      <c r="L71" s="90"/>
      <c r="M71" s="90"/>
      <c r="N71" s="90"/>
      <c r="O71" s="90"/>
    </row>
    <row r="72" spans="1:15" s="54" customFormat="1" ht="20.149999999999999" customHeight="1" x14ac:dyDescent="0.35">
      <c r="A72" s="213"/>
      <c r="B72" s="90"/>
      <c r="C72" s="90"/>
      <c r="D72" s="90"/>
      <c r="E72" s="90"/>
      <c r="F72" s="90"/>
      <c r="G72" s="90"/>
      <c r="H72" s="90"/>
      <c r="L72" s="90"/>
      <c r="M72" s="90"/>
      <c r="N72" s="90"/>
      <c r="O72" s="90"/>
    </row>
    <row r="73" spans="1:15" s="54" customFormat="1" ht="20.149999999999999" customHeight="1" x14ac:dyDescent="0.35">
      <c r="A73" s="213"/>
      <c r="B73" s="90"/>
      <c r="C73" s="90"/>
      <c r="D73" s="90"/>
      <c r="E73" s="90"/>
      <c r="F73" s="90"/>
      <c r="G73" s="90"/>
      <c r="H73" s="90"/>
      <c r="L73" s="90"/>
      <c r="M73" s="90"/>
      <c r="N73" s="90"/>
      <c r="O73" s="90"/>
    </row>
    <row r="74" spans="1:15" s="54" customFormat="1" ht="20.149999999999999" customHeight="1" x14ac:dyDescent="0.35">
      <c r="A74" s="213"/>
      <c r="B74" s="90"/>
      <c r="C74" s="90"/>
      <c r="D74" s="90"/>
      <c r="E74" s="90"/>
      <c r="F74" s="90"/>
      <c r="G74" s="90"/>
      <c r="H74" s="90"/>
      <c r="L74" s="90"/>
      <c r="M74" s="90"/>
      <c r="N74" s="90"/>
      <c r="O74" s="90"/>
    </row>
    <row r="75" spans="1:15" ht="20.149999999999999" customHeight="1" x14ac:dyDescent="0.45">
      <c r="A75" s="31"/>
      <c r="B75" s="32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</row>
    <row r="76" spans="1:15" ht="20.149999999999999" customHeight="1" x14ac:dyDescent="0.45">
      <c r="A76" s="31"/>
      <c r="B76" s="32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</row>
    <row r="77" spans="1:15" ht="20.149999999999999" customHeight="1" x14ac:dyDescent="0.45">
      <c r="A77" s="31"/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</row>
    <row r="78" spans="1:15" ht="20.149999999999999" customHeight="1" x14ac:dyDescent="0.45">
      <c r="A78" s="31"/>
      <c r="B78" s="32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</row>
    <row r="79" spans="1:15" ht="20.149999999999999" customHeight="1" x14ac:dyDescent="0.45">
      <c r="A79" s="31"/>
      <c r="B79" s="32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</row>
    <row r="80" spans="1:15" x14ac:dyDescent="0.45">
      <c r="A80" s="31"/>
      <c r="B80" s="32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</row>
    <row r="81" spans="1:15" x14ac:dyDescent="0.45">
      <c r="A81" s="31"/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x14ac:dyDescent="0.45">
      <c r="A82" s="31"/>
      <c r="B82" s="32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</row>
    <row r="83" spans="1:15" x14ac:dyDescent="0.45">
      <c r="A83" s="31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</row>
    <row r="84" spans="1:15" x14ac:dyDescent="0.45">
      <c r="A84" s="31"/>
      <c r="B84" s="32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</row>
    <row r="85" spans="1:15" x14ac:dyDescent="0.45">
      <c r="A85" s="31"/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</row>
    <row r="86" spans="1:15" x14ac:dyDescent="0.45">
      <c r="A86" s="31"/>
      <c r="B86" s="32"/>
      <c r="C86" s="32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</row>
    <row r="87" spans="1:15" x14ac:dyDescent="0.45">
      <c r="A87" s="31"/>
      <c r="B87" s="32"/>
      <c r="C87" s="32"/>
      <c r="D87" s="32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</row>
    <row r="88" spans="1:15" x14ac:dyDescent="0.45">
      <c r="A88" s="31"/>
      <c r="B88" s="32"/>
      <c r="C88" s="32"/>
      <c r="D88" s="32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</row>
    <row r="89" spans="1:15" x14ac:dyDescent="0.45">
      <c r="A89" s="31"/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</row>
    <row r="90" spans="1:15" x14ac:dyDescent="0.45">
      <c r="A90" s="31"/>
      <c r="B90" s="32"/>
      <c r="C90" s="32"/>
      <c r="D90" s="32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</row>
    <row r="91" spans="1:15" x14ac:dyDescent="0.45">
      <c r="A91" s="31"/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</row>
    <row r="92" spans="1:15" x14ac:dyDescent="0.45">
      <c r="A92" s="31"/>
      <c r="B92" s="32"/>
      <c r="C92" s="32"/>
      <c r="D92" s="32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</row>
    <row r="93" spans="1:15" x14ac:dyDescent="0.45">
      <c r="A93" s="31"/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</row>
    <row r="94" spans="1:15" x14ac:dyDescent="0.45">
      <c r="A94" s="31"/>
      <c r="B94" s="32"/>
      <c r="C94" s="32"/>
      <c r="D94" s="32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</row>
    <row r="95" spans="1:15" x14ac:dyDescent="0.45">
      <c r="A95" s="31"/>
      <c r="B95" s="32"/>
      <c r="C95" s="32"/>
      <c r="D95" s="32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</row>
    <row r="96" spans="1:15" x14ac:dyDescent="0.45">
      <c r="A96" s="31"/>
      <c r="B96" s="32"/>
      <c r="C96" s="32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</row>
    <row r="97" spans="1:15" x14ac:dyDescent="0.45">
      <c r="A97" s="31"/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</row>
  </sheetData>
  <printOptions horizontalCentered="1"/>
  <pageMargins left="0.75" right="0.75" top="0.75" bottom="0.75" header="0.3" footer="0.3"/>
  <pageSetup scale="55" orientation="landscape" r:id="rId1"/>
  <headerFooter>
    <oddFooter>&amp;RSchedule A-13
Page &amp;P of &amp;N</oddFooter>
  </headerFooter>
  <colBreaks count="1" manualBreakCount="1">
    <brk id="4" max="3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8673" r:id="rId4" name="Button 1">
              <controlPr defaultSize="0" print="0" autoFill="0" autoPict="0" macro="[0]!pdfPage25">
                <anchor moveWithCells="1" sizeWithCells="1">
                  <from>
                    <xdr:col>0</xdr:col>
                    <xdr:colOff>57150</xdr:colOff>
                    <xdr:row>0</xdr:row>
                    <xdr:rowOff>19050</xdr:rowOff>
                  </from>
                  <to>
                    <xdr:col>0</xdr:col>
                    <xdr:colOff>69850</xdr:colOff>
                    <xdr:row>0</xdr:row>
                    <xdr:rowOff>31750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9D44D-CC56-43D5-AFE6-7B5958FD95A4}">
  <sheetPr transitionEvaluation="1" transitionEntry="1" codeName="Sheet4">
    <pageSetUpPr fitToPage="1"/>
  </sheetPr>
  <dimension ref="A1:HU210"/>
  <sheetViews>
    <sheetView defaultGridColor="0" colorId="22" zoomScale="70" zoomScaleNormal="70" zoomScaleSheetLayoutView="125" workbookViewId="0">
      <selection activeCell="D21" sqref="D21"/>
    </sheetView>
  </sheetViews>
  <sheetFormatPr defaultColWidth="9.58203125" defaultRowHeight="15.5" x14ac:dyDescent="0.35"/>
  <cols>
    <col min="1" max="1" width="40.58203125" style="58" customWidth="1"/>
    <col min="2" max="9" width="18.83203125" customWidth="1"/>
    <col min="10" max="10" width="9.58203125" style="351"/>
    <col min="11" max="11" width="3.75" style="351" customWidth="1"/>
    <col min="12" max="16384" width="9.58203125" style="351"/>
  </cols>
  <sheetData>
    <row r="1" spans="1:229" s="346" customFormat="1" ht="20.25" customHeight="1" x14ac:dyDescent="0.45">
      <c r="A1" s="239" t="s">
        <v>0</v>
      </c>
      <c r="B1" s="32"/>
      <c r="C1" s="32"/>
      <c r="D1" s="32"/>
      <c r="E1" s="32"/>
      <c r="F1" s="32"/>
      <c r="G1" s="33"/>
      <c r="H1" s="33"/>
      <c r="I1" s="34"/>
    </row>
    <row r="2" spans="1:229" s="346" customFormat="1" ht="18.5" x14ac:dyDescent="0.45">
      <c r="A2" s="240" t="s">
        <v>1</v>
      </c>
      <c r="B2" s="2"/>
      <c r="C2" s="35"/>
      <c r="D2" s="35"/>
      <c r="E2" s="35"/>
      <c r="F2" s="35"/>
      <c r="G2" s="35"/>
      <c r="H2" s="35"/>
      <c r="I2" s="36"/>
    </row>
    <row r="3" spans="1:229" s="346" customFormat="1" ht="18.5" x14ac:dyDescent="0.4">
      <c r="A3" s="241" t="s">
        <v>2</v>
      </c>
      <c r="B3" s="2"/>
      <c r="C3" s="35"/>
      <c r="D3" s="35"/>
      <c r="E3" s="35"/>
      <c r="F3" s="35"/>
      <c r="G3" s="35"/>
      <c r="H3" s="35"/>
      <c r="I3" s="37"/>
    </row>
    <row r="4" spans="1:229" s="346" customFormat="1" ht="52.5" x14ac:dyDescent="0.45">
      <c r="A4" s="241" t="s">
        <v>3</v>
      </c>
      <c r="B4" s="2"/>
      <c r="C4" s="38"/>
      <c r="D4" s="38"/>
      <c r="E4" s="38"/>
      <c r="F4" s="38"/>
      <c r="G4" s="38"/>
      <c r="H4" s="38"/>
      <c r="I4" s="39"/>
    </row>
    <row r="5" spans="1:229" s="346" customFormat="1" ht="52.5" x14ac:dyDescent="0.45">
      <c r="A5" s="241" t="s">
        <v>4</v>
      </c>
      <c r="B5" s="40"/>
      <c r="C5" s="40"/>
      <c r="D5" s="40"/>
      <c r="E5" s="32"/>
      <c r="F5" s="41"/>
      <c r="G5" s="42"/>
      <c r="H5" s="42"/>
      <c r="I5" s="42"/>
      <c r="J5" s="347"/>
      <c r="K5" s="347"/>
    </row>
    <row r="6" spans="1:229" s="348" customFormat="1" ht="73.5" customHeight="1" x14ac:dyDescent="0.35">
      <c r="A6" s="340" t="s">
        <v>34</v>
      </c>
      <c r="B6" s="341" t="s">
        <v>94</v>
      </c>
      <c r="C6" s="342" t="s">
        <v>95</v>
      </c>
      <c r="D6" s="343" t="s">
        <v>96</v>
      </c>
      <c r="E6" s="344" t="s">
        <v>97</v>
      </c>
      <c r="F6" s="345" t="s">
        <v>98</v>
      </c>
      <c r="G6" s="341" t="s">
        <v>99</v>
      </c>
      <c r="H6" s="343" t="s">
        <v>100</v>
      </c>
      <c r="I6" s="343" t="s">
        <v>101</v>
      </c>
    </row>
    <row r="7" spans="1:229" ht="17.5" x14ac:dyDescent="0.45">
      <c r="A7" s="269" t="s">
        <v>42</v>
      </c>
      <c r="B7" s="242">
        <v>24639</v>
      </c>
      <c r="C7" s="242">
        <v>6771</v>
      </c>
      <c r="D7" s="242">
        <v>9246</v>
      </c>
      <c r="E7" s="242">
        <v>40656</v>
      </c>
      <c r="F7" s="242">
        <v>13064</v>
      </c>
      <c r="G7" s="242">
        <v>5884</v>
      </c>
      <c r="H7" s="242">
        <v>6112</v>
      </c>
      <c r="I7" s="242">
        <v>4594</v>
      </c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  <c r="Z7" s="349"/>
      <c r="AA7" s="349"/>
      <c r="AB7" s="350"/>
      <c r="AC7" s="350"/>
      <c r="AD7" s="350"/>
      <c r="AE7" s="350"/>
      <c r="AF7" s="350"/>
      <c r="AG7" s="350"/>
      <c r="AH7" s="350"/>
      <c r="AI7" s="350"/>
      <c r="AJ7" s="350"/>
      <c r="AK7" s="350"/>
      <c r="AL7" s="350"/>
      <c r="AM7" s="350"/>
      <c r="AN7" s="350"/>
      <c r="AO7" s="350"/>
      <c r="AP7" s="350"/>
      <c r="AQ7" s="350"/>
      <c r="AR7" s="350"/>
      <c r="AS7" s="350"/>
      <c r="AT7" s="350"/>
      <c r="AU7" s="350"/>
      <c r="AV7" s="350"/>
      <c r="AW7" s="350"/>
      <c r="AX7" s="350"/>
      <c r="AY7" s="350"/>
      <c r="AZ7" s="350"/>
      <c r="BA7" s="350"/>
      <c r="BB7" s="350"/>
      <c r="BC7" s="350"/>
      <c r="BD7" s="350"/>
      <c r="BE7" s="350"/>
      <c r="BF7" s="350"/>
      <c r="BG7" s="350"/>
      <c r="BH7" s="350"/>
      <c r="BI7" s="350"/>
      <c r="BJ7" s="350"/>
      <c r="BK7" s="350"/>
      <c r="BL7" s="350"/>
      <c r="BM7" s="350"/>
      <c r="BN7" s="350"/>
      <c r="BO7" s="350"/>
      <c r="BP7" s="350"/>
      <c r="BQ7" s="350"/>
      <c r="BR7" s="350"/>
      <c r="BS7" s="350"/>
      <c r="BT7" s="350"/>
      <c r="BU7" s="350"/>
      <c r="BV7" s="350"/>
      <c r="BW7" s="350"/>
      <c r="BX7" s="350"/>
      <c r="BY7" s="350"/>
      <c r="BZ7" s="350"/>
      <c r="CA7" s="350"/>
      <c r="CB7" s="350"/>
      <c r="CC7" s="350"/>
      <c r="CD7" s="350"/>
      <c r="CE7" s="350"/>
      <c r="CF7" s="350"/>
      <c r="CG7" s="350"/>
      <c r="CH7" s="350"/>
      <c r="CI7" s="350"/>
      <c r="CJ7" s="350"/>
      <c r="CK7" s="350"/>
      <c r="CL7" s="350"/>
      <c r="CM7" s="350"/>
      <c r="CN7" s="350"/>
      <c r="CO7" s="350"/>
      <c r="CP7" s="350"/>
      <c r="CQ7" s="350"/>
      <c r="CR7" s="350"/>
      <c r="CS7" s="350"/>
      <c r="CT7" s="350"/>
      <c r="CU7" s="350"/>
      <c r="CV7" s="350"/>
      <c r="CW7" s="350"/>
      <c r="CX7" s="350"/>
      <c r="CY7" s="350"/>
      <c r="CZ7" s="350"/>
      <c r="DA7" s="350"/>
      <c r="DB7" s="350"/>
      <c r="DC7" s="350"/>
      <c r="DD7" s="350"/>
      <c r="DE7" s="350"/>
      <c r="DF7" s="350"/>
      <c r="DG7" s="350"/>
      <c r="DH7" s="350"/>
      <c r="DI7" s="350"/>
      <c r="DJ7" s="350"/>
      <c r="DK7" s="350"/>
      <c r="DL7" s="350"/>
      <c r="DM7" s="350"/>
      <c r="DN7" s="350"/>
      <c r="DO7" s="350"/>
      <c r="DP7" s="350"/>
      <c r="DQ7" s="350"/>
      <c r="DR7" s="350"/>
      <c r="DS7" s="350"/>
      <c r="DT7" s="350"/>
      <c r="DU7" s="350"/>
      <c r="DV7" s="350"/>
      <c r="DW7" s="350"/>
      <c r="DX7" s="350"/>
      <c r="DY7" s="350"/>
      <c r="DZ7" s="350"/>
      <c r="EA7" s="350"/>
      <c r="EB7" s="350"/>
      <c r="EC7" s="350"/>
      <c r="ED7" s="350"/>
      <c r="EE7" s="350"/>
      <c r="EF7" s="350"/>
      <c r="EG7" s="350"/>
      <c r="EH7" s="350"/>
      <c r="EI7" s="350"/>
      <c r="EJ7" s="350"/>
      <c r="EK7" s="350"/>
      <c r="EL7" s="350"/>
      <c r="EM7" s="350"/>
      <c r="EN7" s="350"/>
      <c r="EO7" s="350"/>
      <c r="EP7" s="350"/>
      <c r="EQ7" s="350"/>
      <c r="ER7" s="350"/>
      <c r="ES7" s="350"/>
      <c r="ET7" s="350"/>
      <c r="EU7" s="350"/>
      <c r="EV7" s="350"/>
      <c r="EW7" s="350"/>
      <c r="EX7" s="350"/>
      <c r="EY7" s="350"/>
      <c r="EZ7" s="350"/>
      <c r="FA7" s="350"/>
      <c r="FB7" s="350"/>
      <c r="FC7" s="350"/>
      <c r="FD7" s="350"/>
      <c r="FE7" s="350"/>
      <c r="FF7" s="350"/>
      <c r="FG7" s="350"/>
      <c r="FH7" s="350"/>
      <c r="FI7" s="350"/>
      <c r="FJ7" s="350"/>
      <c r="FK7" s="350"/>
      <c r="FL7" s="350"/>
      <c r="FM7" s="350"/>
      <c r="FN7" s="350"/>
      <c r="FO7" s="350"/>
      <c r="FP7" s="350"/>
      <c r="FQ7" s="350"/>
      <c r="FR7" s="350"/>
      <c r="FS7" s="350"/>
      <c r="FT7" s="350"/>
      <c r="FU7" s="350"/>
      <c r="FV7" s="350"/>
      <c r="FW7" s="350"/>
      <c r="FX7" s="350"/>
      <c r="FY7" s="350"/>
      <c r="FZ7" s="350"/>
      <c r="GA7" s="350"/>
      <c r="GB7" s="350"/>
      <c r="GC7" s="350"/>
      <c r="GD7" s="350"/>
      <c r="GE7" s="350"/>
      <c r="GF7" s="350"/>
      <c r="GG7" s="350"/>
      <c r="GH7" s="350"/>
      <c r="GI7" s="350"/>
      <c r="GJ7" s="350"/>
      <c r="GK7" s="350"/>
      <c r="GL7" s="350"/>
      <c r="GM7" s="350"/>
      <c r="GN7" s="350"/>
      <c r="GO7" s="350"/>
      <c r="GP7" s="350"/>
      <c r="GQ7" s="350"/>
      <c r="GR7" s="350"/>
      <c r="GS7" s="350"/>
      <c r="GT7" s="350"/>
      <c r="GU7" s="350"/>
      <c r="GV7" s="350"/>
      <c r="GW7" s="350"/>
      <c r="GX7" s="350"/>
      <c r="GY7" s="350"/>
      <c r="GZ7" s="350"/>
      <c r="HA7" s="350"/>
      <c r="HB7" s="350"/>
      <c r="HC7" s="350"/>
      <c r="HD7" s="350"/>
      <c r="HE7" s="350"/>
      <c r="HF7" s="350"/>
      <c r="HG7" s="350"/>
      <c r="HH7" s="350"/>
      <c r="HI7" s="350"/>
      <c r="HJ7" s="350"/>
      <c r="HK7" s="350"/>
      <c r="HL7" s="350"/>
      <c r="HM7" s="350"/>
      <c r="HN7" s="350"/>
      <c r="HO7" s="350"/>
      <c r="HP7" s="350"/>
      <c r="HQ7" s="350"/>
      <c r="HR7" s="350"/>
      <c r="HS7" s="350"/>
      <c r="HT7" s="350"/>
      <c r="HU7" s="350"/>
    </row>
    <row r="8" spans="1:229" ht="17.5" x14ac:dyDescent="0.45">
      <c r="A8" s="269" t="s">
        <v>43</v>
      </c>
      <c r="B8" s="242">
        <v>24587</v>
      </c>
      <c r="C8" s="242">
        <v>5175</v>
      </c>
      <c r="D8" s="242">
        <v>6827</v>
      </c>
      <c r="E8" s="242">
        <v>36589</v>
      </c>
      <c r="F8" s="242">
        <v>10148</v>
      </c>
      <c r="G8" s="242">
        <v>122</v>
      </c>
      <c r="H8" s="242">
        <v>224</v>
      </c>
      <c r="I8" s="242">
        <v>104</v>
      </c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50"/>
      <c r="AC8" s="350"/>
      <c r="AD8" s="350"/>
      <c r="AE8" s="350"/>
      <c r="AF8" s="350"/>
      <c r="AG8" s="350"/>
      <c r="AH8" s="350"/>
      <c r="AI8" s="350"/>
      <c r="AJ8" s="350"/>
      <c r="AK8" s="350"/>
      <c r="AL8" s="350"/>
      <c r="AM8" s="350"/>
      <c r="AN8" s="350"/>
      <c r="AO8" s="350"/>
      <c r="AP8" s="350"/>
      <c r="AQ8" s="350"/>
      <c r="AR8" s="350"/>
      <c r="AS8" s="350"/>
      <c r="AT8" s="350"/>
      <c r="AU8" s="350"/>
      <c r="AV8" s="350"/>
      <c r="AW8" s="350"/>
      <c r="AX8" s="350"/>
      <c r="AY8" s="350"/>
      <c r="AZ8" s="350"/>
      <c r="BA8" s="350"/>
      <c r="BB8" s="350"/>
      <c r="BC8" s="350"/>
      <c r="BD8" s="350"/>
      <c r="BE8" s="350"/>
      <c r="BF8" s="350"/>
      <c r="BG8" s="350"/>
      <c r="BH8" s="350"/>
      <c r="BI8" s="350"/>
      <c r="BJ8" s="350"/>
      <c r="BK8" s="350"/>
      <c r="BL8" s="350"/>
      <c r="BM8" s="350"/>
      <c r="BN8" s="350"/>
      <c r="BO8" s="350"/>
      <c r="BP8" s="350"/>
      <c r="BQ8" s="350"/>
      <c r="BR8" s="350"/>
      <c r="BS8" s="350"/>
      <c r="BT8" s="350"/>
      <c r="BU8" s="350"/>
      <c r="BV8" s="350"/>
      <c r="BW8" s="350"/>
      <c r="BX8" s="350"/>
      <c r="BY8" s="350"/>
      <c r="BZ8" s="350"/>
      <c r="CA8" s="350"/>
      <c r="CB8" s="350"/>
      <c r="CC8" s="350"/>
      <c r="CD8" s="350"/>
      <c r="CE8" s="350"/>
      <c r="CF8" s="350"/>
      <c r="CG8" s="350"/>
      <c r="CH8" s="350"/>
      <c r="CI8" s="350"/>
      <c r="CJ8" s="350"/>
      <c r="CK8" s="350"/>
      <c r="CL8" s="350"/>
      <c r="CM8" s="350"/>
      <c r="CN8" s="350"/>
      <c r="CO8" s="350"/>
      <c r="CP8" s="350"/>
      <c r="CQ8" s="350"/>
      <c r="CR8" s="350"/>
      <c r="CS8" s="350"/>
      <c r="CT8" s="350"/>
      <c r="CU8" s="350"/>
      <c r="CV8" s="350"/>
      <c r="CW8" s="350"/>
      <c r="CX8" s="350"/>
      <c r="CY8" s="350"/>
      <c r="CZ8" s="350"/>
      <c r="DA8" s="350"/>
      <c r="DB8" s="350"/>
      <c r="DC8" s="350"/>
      <c r="DD8" s="350"/>
      <c r="DE8" s="350"/>
      <c r="DF8" s="350"/>
      <c r="DG8" s="350"/>
      <c r="DH8" s="350"/>
      <c r="DI8" s="350"/>
      <c r="DJ8" s="350"/>
      <c r="DK8" s="350"/>
      <c r="DL8" s="350"/>
      <c r="DM8" s="350"/>
      <c r="DN8" s="350"/>
      <c r="DO8" s="350"/>
      <c r="DP8" s="350"/>
      <c r="DQ8" s="350"/>
      <c r="DR8" s="350"/>
      <c r="DS8" s="350"/>
      <c r="DT8" s="350"/>
      <c r="DU8" s="350"/>
      <c r="DV8" s="350"/>
      <c r="DW8" s="350"/>
      <c r="DX8" s="350"/>
      <c r="DY8" s="350"/>
      <c r="DZ8" s="350"/>
      <c r="EA8" s="350"/>
      <c r="EB8" s="350"/>
      <c r="EC8" s="350"/>
      <c r="ED8" s="350"/>
      <c r="EE8" s="350"/>
      <c r="EF8" s="350"/>
      <c r="EG8" s="350"/>
      <c r="EH8" s="350"/>
      <c r="EI8" s="350"/>
      <c r="EJ8" s="350"/>
      <c r="EK8" s="350"/>
      <c r="EL8" s="350"/>
      <c r="EM8" s="350"/>
      <c r="EN8" s="350"/>
      <c r="EO8" s="350"/>
      <c r="EP8" s="350"/>
      <c r="EQ8" s="350"/>
      <c r="ER8" s="350"/>
      <c r="ES8" s="350"/>
      <c r="ET8" s="350"/>
      <c r="EU8" s="350"/>
      <c r="EV8" s="350"/>
      <c r="EW8" s="350"/>
      <c r="EX8" s="350"/>
      <c r="EY8" s="350"/>
      <c r="EZ8" s="350"/>
      <c r="FA8" s="350"/>
      <c r="FB8" s="350"/>
      <c r="FC8" s="350"/>
      <c r="FD8" s="350"/>
      <c r="FE8" s="350"/>
      <c r="FF8" s="350"/>
      <c r="FG8" s="350"/>
      <c r="FH8" s="350"/>
      <c r="FI8" s="350"/>
      <c r="FJ8" s="350"/>
      <c r="FK8" s="350"/>
      <c r="FL8" s="350"/>
      <c r="FM8" s="350"/>
      <c r="FN8" s="350"/>
      <c r="FO8" s="350"/>
      <c r="FP8" s="350"/>
      <c r="FQ8" s="350"/>
      <c r="FR8" s="350"/>
      <c r="FS8" s="350"/>
      <c r="FT8" s="350"/>
      <c r="FU8" s="350"/>
      <c r="FV8" s="350"/>
      <c r="FW8" s="350"/>
      <c r="FX8" s="350"/>
      <c r="FY8" s="350"/>
      <c r="FZ8" s="350"/>
      <c r="GA8" s="350"/>
      <c r="GB8" s="350"/>
      <c r="GC8" s="350"/>
      <c r="GD8" s="350"/>
      <c r="GE8" s="350"/>
      <c r="GF8" s="350"/>
      <c r="GG8" s="350"/>
      <c r="GH8" s="350"/>
      <c r="GI8" s="350"/>
      <c r="GJ8" s="350"/>
      <c r="GK8" s="350"/>
      <c r="GL8" s="350"/>
      <c r="GM8" s="350"/>
      <c r="GN8" s="350"/>
      <c r="GO8" s="350"/>
      <c r="GP8" s="350"/>
      <c r="GQ8" s="350"/>
      <c r="GR8" s="350"/>
      <c r="GS8" s="350"/>
      <c r="GT8" s="350"/>
      <c r="GU8" s="350"/>
      <c r="GV8" s="350"/>
      <c r="GW8" s="350"/>
      <c r="GX8" s="350"/>
      <c r="GY8" s="350"/>
      <c r="GZ8" s="350"/>
      <c r="HA8" s="350"/>
      <c r="HB8" s="350"/>
      <c r="HC8" s="350"/>
      <c r="HD8" s="350"/>
      <c r="HE8" s="350"/>
      <c r="HF8" s="350"/>
      <c r="HG8" s="350"/>
      <c r="HH8" s="350"/>
      <c r="HI8" s="350"/>
      <c r="HJ8" s="350"/>
      <c r="HK8" s="350"/>
      <c r="HL8" s="350"/>
      <c r="HM8" s="350"/>
      <c r="HN8" s="350"/>
      <c r="HO8" s="350"/>
      <c r="HP8" s="350"/>
      <c r="HQ8" s="350"/>
      <c r="HR8" s="350"/>
      <c r="HS8" s="350"/>
      <c r="HT8" s="350"/>
      <c r="HU8" s="350"/>
    </row>
    <row r="9" spans="1:229" ht="17.5" x14ac:dyDescent="0.45">
      <c r="A9" s="269" t="s">
        <v>44</v>
      </c>
      <c r="B9" s="242">
        <v>22615</v>
      </c>
      <c r="C9" s="242">
        <v>6777</v>
      </c>
      <c r="D9" s="242">
        <v>5118</v>
      </c>
      <c r="E9" s="242">
        <v>34510</v>
      </c>
      <c r="F9" s="242">
        <v>11614</v>
      </c>
      <c r="G9" s="242">
        <v>2997</v>
      </c>
      <c r="H9" s="242">
        <v>4001</v>
      </c>
      <c r="I9" s="242">
        <v>2543</v>
      </c>
      <c r="J9" s="349"/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50"/>
      <c r="AC9" s="350"/>
      <c r="AD9" s="350"/>
      <c r="AE9" s="350"/>
      <c r="AF9" s="350"/>
      <c r="AG9" s="350"/>
      <c r="AH9" s="350"/>
      <c r="AI9" s="350"/>
      <c r="AJ9" s="350"/>
      <c r="AK9" s="350"/>
      <c r="AL9" s="350"/>
      <c r="AM9" s="350"/>
      <c r="AN9" s="350"/>
      <c r="AO9" s="350"/>
      <c r="AP9" s="350"/>
      <c r="AQ9" s="350"/>
      <c r="AR9" s="350"/>
      <c r="AS9" s="350"/>
      <c r="AT9" s="350"/>
      <c r="AU9" s="350"/>
      <c r="AV9" s="350"/>
      <c r="AW9" s="350"/>
      <c r="AX9" s="350"/>
      <c r="AY9" s="350"/>
      <c r="AZ9" s="350"/>
      <c r="BA9" s="350"/>
      <c r="BB9" s="350"/>
      <c r="BC9" s="350"/>
      <c r="BD9" s="350"/>
      <c r="BE9" s="350"/>
      <c r="BF9" s="350"/>
      <c r="BG9" s="350"/>
      <c r="BH9" s="350"/>
      <c r="BI9" s="350"/>
      <c r="BJ9" s="350"/>
      <c r="BK9" s="350"/>
      <c r="BL9" s="350"/>
      <c r="BM9" s="350"/>
      <c r="BN9" s="350"/>
      <c r="BO9" s="350"/>
      <c r="BP9" s="350"/>
      <c r="BQ9" s="350"/>
      <c r="BR9" s="350"/>
      <c r="BS9" s="350"/>
      <c r="BT9" s="350"/>
      <c r="BU9" s="350"/>
      <c r="BV9" s="350"/>
      <c r="BW9" s="350"/>
      <c r="BX9" s="350"/>
      <c r="BY9" s="350"/>
      <c r="BZ9" s="350"/>
      <c r="CA9" s="350"/>
      <c r="CB9" s="350"/>
      <c r="CC9" s="350"/>
      <c r="CD9" s="350"/>
      <c r="CE9" s="350"/>
      <c r="CF9" s="350"/>
      <c r="CG9" s="350"/>
      <c r="CH9" s="350"/>
      <c r="CI9" s="350"/>
      <c r="CJ9" s="350"/>
      <c r="CK9" s="350"/>
      <c r="CL9" s="350"/>
      <c r="CM9" s="350"/>
      <c r="CN9" s="350"/>
      <c r="CO9" s="350"/>
      <c r="CP9" s="350"/>
      <c r="CQ9" s="350"/>
      <c r="CR9" s="350"/>
      <c r="CS9" s="350"/>
      <c r="CT9" s="350"/>
      <c r="CU9" s="350"/>
      <c r="CV9" s="350"/>
      <c r="CW9" s="350"/>
      <c r="CX9" s="350"/>
      <c r="CY9" s="350"/>
      <c r="CZ9" s="350"/>
      <c r="DA9" s="350"/>
      <c r="DB9" s="350"/>
      <c r="DC9" s="350"/>
      <c r="DD9" s="350"/>
      <c r="DE9" s="350"/>
      <c r="DF9" s="350"/>
      <c r="DG9" s="350"/>
      <c r="DH9" s="350"/>
      <c r="DI9" s="350"/>
      <c r="DJ9" s="350"/>
      <c r="DK9" s="350"/>
      <c r="DL9" s="350"/>
      <c r="DM9" s="350"/>
      <c r="DN9" s="350"/>
      <c r="DO9" s="350"/>
      <c r="DP9" s="350"/>
      <c r="DQ9" s="350"/>
      <c r="DR9" s="350"/>
      <c r="DS9" s="350"/>
      <c r="DT9" s="350"/>
      <c r="DU9" s="350"/>
      <c r="DV9" s="350"/>
      <c r="DW9" s="350"/>
      <c r="DX9" s="350"/>
      <c r="DY9" s="350"/>
      <c r="DZ9" s="350"/>
      <c r="EA9" s="350"/>
      <c r="EB9" s="350"/>
      <c r="EC9" s="350"/>
      <c r="ED9" s="350"/>
      <c r="EE9" s="350"/>
      <c r="EF9" s="350"/>
      <c r="EG9" s="350"/>
      <c r="EH9" s="350"/>
      <c r="EI9" s="350"/>
      <c r="EJ9" s="350"/>
      <c r="EK9" s="350"/>
      <c r="EL9" s="350"/>
      <c r="EM9" s="350"/>
      <c r="EN9" s="350"/>
      <c r="EO9" s="350"/>
      <c r="EP9" s="350"/>
      <c r="EQ9" s="350"/>
      <c r="ER9" s="350"/>
      <c r="ES9" s="350"/>
      <c r="ET9" s="350"/>
      <c r="EU9" s="350"/>
      <c r="EV9" s="350"/>
      <c r="EW9" s="350"/>
      <c r="EX9" s="350"/>
      <c r="EY9" s="350"/>
      <c r="EZ9" s="350"/>
      <c r="FA9" s="350"/>
      <c r="FB9" s="350"/>
      <c r="FC9" s="350"/>
      <c r="FD9" s="350"/>
      <c r="FE9" s="350"/>
      <c r="FF9" s="350"/>
      <c r="FG9" s="350"/>
      <c r="FH9" s="350"/>
      <c r="FI9" s="350"/>
      <c r="FJ9" s="350"/>
      <c r="FK9" s="350"/>
      <c r="FL9" s="350"/>
      <c r="FM9" s="350"/>
      <c r="FN9" s="350"/>
      <c r="FO9" s="350"/>
      <c r="FP9" s="350"/>
      <c r="FQ9" s="350"/>
      <c r="FR9" s="350"/>
      <c r="FS9" s="350"/>
      <c r="FT9" s="350"/>
      <c r="FU9" s="350"/>
      <c r="FV9" s="350"/>
      <c r="FW9" s="350"/>
      <c r="FX9" s="350"/>
      <c r="FY9" s="350"/>
      <c r="FZ9" s="350"/>
      <c r="GA9" s="350"/>
      <c r="GB9" s="350"/>
      <c r="GC9" s="350"/>
      <c r="GD9" s="350"/>
      <c r="GE9" s="350"/>
      <c r="GF9" s="350"/>
      <c r="GG9" s="350"/>
      <c r="GH9" s="350"/>
      <c r="GI9" s="350"/>
      <c r="GJ9" s="350"/>
      <c r="GK9" s="350"/>
      <c r="GL9" s="350"/>
      <c r="GM9" s="350"/>
      <c r="GN9" s="350"/>
      <c r="GO9" s="350"/>
      <c r="GP9" s="350"/>
      <c r="GQ9" s="350"/>
      <c r="GR9" s="350"/>
      <c r="GS9" s="350"/>
      <c r="GT9" s="350"/>
      <c r="GU9" s="350"/>
      <c r="GV9" s="350"/>
      <c r="GW9" s="350"/>
      <c r="GX9" s="350"/>
      <c r="GY9" s="350"/>
      <c r="GZ9" s="350"/>
      <c r="HA9" s="350"/>
      <c r="HB9" s="350"/>
      <c r="HC9" s="350"/>
      <c r="HD9" s="350"/>
      <c r="HE9" s="350"/>
      <c r="HF9" s="350"/>
      <c r="HG9" s="350"/>
      <c r="HH9" s="350"/>
      <c r="HI9" s="350"/>
      <c r="HJ9" s="350"/>
      <c r="HK9" s="350"/>
      <c r="HL9" s="350"/>
      <c r="HM9" s="350"/>
      <c r="HN9" s="350"/>
      <c r="HO9" s="350"/>
      <c r="HP9" s="350"/>
      <c r="HQ9" s="350"/>
      <c r="HR9" s="350"/>
      <c r="HS9" s="350"/>
      <c r="HT9" s="350"/>
      <c r="HU9" s="350"/>
    </row>
    <row r="10" spans="1:229" ht="17.5" x14ac:dyDescent="0.45">
      <c r="A10" s="269" t="s">
        <v>45</v>
      </c>
      <c r="B10" s="242">
        <v>32418</v>
      </c>
      <c r="C10" s="242">
        <v>6513</v>
      </c>
      <c r="D10" s="242">
        <v>6196</v>
      </c>
      <c r="E10" s="242">
        <v>45127</v>
      </c>
      <c r="F10" s="242">
        <v>14226</v>
      </c>
      <c r="G10" s="242">
        <v>5871</v>
      </c>
      <c r="H10" s="242">
        <v>7892</v>
      </c>
      <c r="I10" s="242">
        <v>5081</v>
      </c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  <c r="AA10" s="349"/>
      <c r="AB10" s="350"/>
      <c r="AC10" s="350"/>
      <c r="AD10" s="350"/>
      <c r="AE10" s="350"/>
      <c r="AF10" s="350"/>
      <c r="AG10" s="350"/>
      <c r="AH10" s="350"/>
      <c r="AI10" s="350"/>
      <c r="AJ10" s="350"/>
      <c r="AK10" s="350"/>
      <c r="AL10" s="35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  <c r="BI10" s="350"/>
      <c r="BJ10" s="350"/>
      <c r="BK10" s="350"/>
      <c r="BL10" s="350"/>
      <c r="BM10" s="350"/>
      <c r="BN10" s="350"/>
      <c r="BO10" s="350"/>
      <c r="BP10" s="350"/>
      <c r="BQ10" s="350"/>
      <c r="BR10" s="350"/>
      <c r="BS10" s="350"/>
      <c r="BT10" s="350"/>
      <c r="BU10" s="350"/>
      <c r="BV10" s="350"/>
      <c r="BW10" s="350"/>
      <c r="BX10" s="350"/>
      <c r="BY10" s="350"/>
      <c r="BZ10" s="350"/>
      <c r="CA10" s="350"/>
      <c r="CB10" s="350"/>
      <c r="CC10" s="350"/>
      <c r="CD10" s="350"/>
      <c r="CE10" s="350"/>
      <c r="CF10" s="350"/>
      <c r="CG10" s="350"/>
      <c r="CH10" s="350"/>
      <c r="CI10" s="350"/>
      <c r="CJ10" s="350"/>
      <c r="CK10" s="350"/>
      <c r="CL10" s="350"/>
      <c r="CM10" s="350"/>
      <c r="CN10" s="350"/>
      <c r="CO10" s="350"/>
      <c r="CP10" s="350"/>
      <c r="CQ10" s="350"/>
      <c r="CR10" s="350"/>
      <c r="CS10" s="350"/>
      <c r="CT10" s="350"/>
      <c r="CU10" s="350"/>
      <c r="CV10" s="350"/>
      <c r="CW10" s="350"/>
      <c r="CX10" s="350"/>
      <c r="CY10" s="350"/>
      <c r="CZ10" s="350"/>
      <c r="DA10" s="350"/>
      <c r="DB10" s="350"/>
      <c r="DC10" s="350"/>
      <c r="DD10" s="350"/>
      <c r="DE10" s="350"/>
      <c r="DF10" s="350"/>
      <c r="DG10" s="350"/>
      <c r="DH10" s="350"/>
      <c r="DI10" s="350"/>
      <c r="DJ10" s="350"/>
      <c r="DK10" s="350"/>
      <c r="DL10" s="350"/>
      <c r="DM10" s="350"/>
      <c r="DN10" s="350"/>
      <c r="DO10" s="350"/>
      <c r="DP10" s="350"/>
      <c r="DQ10" s="350"/>
      <c r="DR10" s="350"/>
      <c r="DS10" s="350"/>
      <c r="DT10" s="350"/>
      <c r="DU10" s="350"/>
      <c r="DV10" s="350"/>
      <c r="DW10" s="350"/>
      <c r="DX10" s="350"/>
      <c r="DY10" s="350"/>
      <c r="DZ10" s="350"/>
      <c r="EA10" s="350"/>
      <c r="EB10" s="350"/>
      <c r="EC10" s="350"/>
      <c r="ED10" s="350"/>
      <c r="EE10" s="350"/>
      <c r="EF10" s="350"/>
      <c r="EG10" s="350"/>
      <c r="EH10" s="350"/>
      <c r="EI10" s="350"/>
      <c r="EJ10" s="350"/>
      <c r="EK10" s="350"/>
      <c r="EL10" s="350"/>
      <c r="EM10" s="350"/>
      <c r="EN10" s="350"/>
      <c r="EO10" s="350"/>
      <c r="EP10" s="350"/>
      <c r="EQ10" s="350"/>
      <c r="ER10" s="350"/>
      <c r="ES10" s="350"/>
      <c r="ET10" s="350"/>
      <c r="EU10" s="350"/>
      <c r="EV10" s="350"/>
      <c r="EW10" s="350"/>
      <c r="EX10" s="350"/>
      <c r="EY10" s="350"/>
      <c r="EZ10" s="350"/>
      <c r="FA10" s="350"/>
      <c r="FB10" s="350"/>
      <c r="FC10" s="350"/>
      <c r="FD10" s="350"/>
      <c r="FE10" s="350"/>
      <c r="FF10" s="350"/>
      <c r="FG10" s="350"/>
      <c r="FH10" s="350"/>
      <c r="FI10" s="350"/>
      <c r="FJ10" s="350"/>
      <c r="FK10" s="350"/>
      <c r="FL10" s="350"/>
      <c r="FM10" s="350"/>
      <c r="FN10" s="350"/>
      <c r="FO10" s="350"/>
      <c r="FP10" s="350"/>
      <c r="FQ10" s="350"/>
      <c r="FR10" s="350"/>
      <c r="FS10" s="350"/>
      <c r="FT10" s="350"/>
      <c r="FU10" s="350"/>
      <c r="FV10" s="350"/>
      <c r="FW10" s="350"/>
      <c r="FX10" s="350"/>
      <c r="FY10" s="350"/>
      <c r="FZ10" s="350"/>
      <c r="GA10" s="350"/>
      <c r="GB10" s="350"/>
      <c r="GC10" s="350"/>
      <c r="GD10" s="350"/>
      <c r="GE10" s="350"/>
      <c r="GF10" s="350"/>
      <c r="GG10" s="350"/>
      <c r="GH10" s="350"/>
      <c r="GI10" s="350"/>
      <c r="GJ10" s="350"/>
      <c r="GK10" s="350"/>
      <c r="GL10" s="350"/>
      <c r="GM10" s="350"/>
      <c r="GN10" s="350"/>
      <c r="GO10" s="350"/>
      <c r="GP10" s="350"/>
      <c r="GQ10" s="350"/>
      <c r="GR10" s="350"/>
      <c r="GS10" s="350"/>
      <c r="GT10" s="350"/>
      <c r="GU10" s="350"/>
      <c r="GV10" s="350"/>
      <c r="GW10" s="350"/>
      <c r="GX10" s="350"/>
      <c r="GY10" s="350"/>
      <c r="GZ10" s="350"/>
      <c r="HA10" s="350"/>
      <c r="HB10" s="350"/>
      <c r="HC10" s="350"/>
      <c r="HD10" s="350"/>
      <c r="HE10" s="350"/>
      <c r="HF10" s="350"/>
      <c r="HG10" s="350"/>
      <c r="HH10" s="350"/>
      <c r="HI10" s="350"/>
      <c r="HJ10" s="350"/>
      <c r="HK10" s="350"/>
      <c r="HL10" s="350"/>
      <c r="HM10" s="350"/>
      <c r="HN10" s="350"/>
      <c r="HO10" s="350"/>
      <c r="HP10" s="350"/>
      <c r="HQ10" s="350"/>
      <c r="HR10" s="350"/>
      <c r="HS10" s="350"/>
      <c r="HT10" s="350"/>
      <c r="HU10" s="350"/>
    </row>
    <row r="11" spans="1:229" ht="17.5" x14ac:dyDescent="0.45">
      <c r="A11" s="269" t="s">
        <v>46</v>
      </c>
      <c r="B11" s="242">
        <v>26415</v>
      </c>
      <c r="C11" s="242">
        <v>5720</v>
      </c>
      <c r="D11" s="242">
        <v>8119</v>
      </c>
      <c r="E11" s="242">
        <v>40254</v>
      </c>
      <c r="F11" s="242">
        <v>12967</v>
      </c>
      <c r="G11" s="242">
        <v>3088</v>
      </c>
      <c r="H11" s="242">
        <v>4093</v>
      </c>
      <c r="I11" s="242">
        <v>2335</v>
      </c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50"/>
      <c r="AC11" s="350"/>
      <c r="AD11" s="350"/>
      <c r="AE11" s="350"/>
      <c r="AF11" s="350"/>
      <c r="AG11" s="350"/>
      <c r="AH11" s="350"/>
      <c r="AI11" s="350"/>
      <c r="AJ11" s="350"/>
      <c r="AK11" s="350"/>
      <c r="AL11" s="350"/>
      <c r="AM11" s="350"/>
      <c r="AN11" s="350"/>
      <c r="AO11" s="350"/>
      <c r="AP11" s="350"/>
      <c r="AQ11" s="350"/>
      <c r="AR11" s="350"/>
      <c r="AS11" s="350"/>
      <c r="AT11" s="350"/>
      <c r="AU11" s="350"/>
      <c r="AV11" s="350"/>
      <c r="AW11" s="350"/>
      <c r="AX11" s="350"/>
      <c r="AY11" s="350"/>
      <c r="AZ11" s="350"/>
      <c r="BA11" s="350"/>
      <c r="BB11" s="350"/>
      <c r="BC11" s="350"/>
      <c r="BD11" s="350"/>
      <c r="BE11" s="350"/>
      <c r="BF11" s="350"/>
      <c r="BG11" s="350"/>
      <c r="BH11" s="350"/>
      <c r="BI11" s="350"/>
      <c r="BJ11" s="350"/>
      <c r="BK11" s="350"/>
      <c r="BL11" s="350"/>
      <c r="BM11" s="350"/>
      <c r="BN11" s="350"/>
      <c r="BO11" s="350"/>
      <c r="BP11" s="350"/>
      <c r="BQ11" s="350"/>
      <c r="BR11" s="350"/>
      <c r="BS11" s="350"/>
      <c r="BT11" s="350"/>
      <c r="BU11" s="350"/>
      <c r="BV11" s="350"/>
      <c r="BW11" s="350"/>
      <c r="BX11" s="350"/>
      <c r="BY11" s="350"/>
      <c r="BZ11" s="350"/>
      <c r="CA11" s="350"/>
      <c r="CB11" s="350"/>
      <c r="CC11" s="350"/>
      <c r="CD11" s="350"/>
      <c r="CE11" s="350"/>
      <c r="CF11" s="350"/>
      <c r="CG11" s="350"/>
      <c r="CH11" s="350"/>
      <c r="CI11" s="350"/>
      <c r="CJ11" s="350"/>
      <c r="CK11" s="350"/>
      <c r="CL11" s="350"/>
      <c r="CM11" s="350"/>
      <c r="CN11" s="350"/>
      <c r="CO11" s="350"/>
      <c r="CP11" s="350"/>
      <c r="CQ11" s="350"/>
      <c r="CR11" s="350"/>
      <c r="CS11" s="350"/>
      <c r="CT11" s="350"/>
      <c r="CU11" s="350"/>
      <c r="CV11" s="350"/>
      <c r="CW11" s="350"/>
      <c r="CX11" s="350"/>
      <c r="CY11" s="350"/>
      <c r="CZ11" s="350"/>
      <c r="DA11" s="350"/>
      <c r="DB11" s="350"/>
      <c r="DC11" s="350"/>
      <c r="DD11" s="350"/>
      <c r="DE11" s="350"/>
      <c r="DF11" s="350"/>
      <c r="DG11" s="350"/>
      <c r="DH11" s="350"/>
      <c r="DI11" s="350"/>
      <c r="DJ11" s="350"/>
      <c r="DK11" s="350"/>
      <c r="DL11" s="350"/>
      <c r="DM11" s="350"/>
      <c r="DN11" s="350"/>
      <c r="DO11" s="350"/>
      <c r="DP11" s="350"/>
      <c r="DQ11" s="350"/>
      <c r="DR11" s="350"/>
      <c r="DS11" s="350"/>
      <c r="DT11" s="350"/>
      <c r="DU11" s="350"/>
      <c r="DV11" s="350"/>
      <c r="DW11" s="350"/>
      <c r="DX11" s="350"/>
      <c r="DY11" s="350"/>
      <c r="DZ11" s="350"/>
      <c r="EA11" s="350"/>
      <c r="EB11" s="350"/>
      <c r="EC11" s="350"/>
      <c r="ED11" s="350"/>
      <c r="EE11" s="350"/>
      <c r="EF11" s="350"/>
      <c r="EG11" s="350"/>
      <c r="EH11" s="350"/>
      <c r="EI11" s="350"/>
      <c r="EJ11" s="350"/>
      <c r="EK11" s="350"/>
      <c r="EL11" s="350"/>
      <c r="EM11" s="350"/>
      <c r="EN11" s="350"/>
      <c r="EO11" s="350"/>
      <c r="EP11" s="350"/>
      <c r="EQ11" s="350"/>
      <c r="ER11" s="350"/>
      <c r="ES11" s="350"/>
      <c r="ET11" s="350"/>
      <c r="EU11" s="350"/>
      <c r="EV11" s="350"/>
      <c r="EW11" s="350"/>
      <c r="EX11" s="350"/>
      <c r="EY11" s="350"/>
      <c r="EZ11" s="350"/>
      <c r="FA11" s="350"/>
      <c r="FB11" s="350"/>
      <c r="FC11" s="350"/>
      <c r="FD11" s="350"/>
      <c r="FE11" s="350"/>
      <c r="FF11" s="350"/>
      <c r="FG11" s="350"/>
      <c r="FH11" s="350"/>
      <c r="FI11" s="350"/>
      <c r="FJ11" s="350"/>
      <c r="FK11" s="350"/>
      <c r="FL11" s="350"/>
      <c r="FM11" s="350"/>
      <c r="FN11" s="350"/>
      <c r="FO11" s="350"/>
      <c r="FP11" s="350"/>
      <c r="FQ11" s="350"/>
      <c r="FR11" s="350"/>
      <c r="FS11" s="350"/>
      <c r="FT11" s="350"/>
      <c r="FU11" s="350"/>
      <c r="FV11" s="350"/>
      <c r="FW11" s="350"/>
      <c r="FX11" s="350"/>
      <c r="FY11" s="350"/>
      <c r="FZ11" s="350"/>
      <c r="GA11" s="350"/>
      <c r="GB11" s="350"/>
      <c r="GC11" s="350"/>
      <c r="GD11" s="350"/>
      <c r="GE11" s="350"/>
      <c r="GF11" s="350"/>
      <c r="GG11" s="350"/>
      <c r="GH11" s="350"/>
      <c r="GI11" s="350"/>
      <c r="GJ11" s="350"/>
      <c r="GK11" s="350"/>
      <c r="GL11" s="350"/>
      <c r="GM11" s="350"/>
      <c r="GN11" s="350"/>
      <c r="GO11" s="350"/>
      <c r="GP11" s="350"/>
      <c r="GQ11" s="350"/>
      <c r="GR11" s="350"/>
      <c r="GS11" s="350"/>
      <c r="GT11" s="350"/>
      <c r="GU11" s="350"/>
      <c r="GV11" s="350"/>
      <c r="GW11" s="350"/>
      <c r="GX11" s="350"/>
      <c r="GY11" s="350"/>
      <c r="GZ11" s="350"/>
      <c r="HA11" s="350"/>
      <c r="HB11" s="350"/>
      <c r="HC11" s="350"/>
      <c r="HD11" s="350"/>
      <c r="HE11" s="350"/>
      <c r="HF11" s="350"/>
      <c r="HG11" s="350"/>
      <c r="HH11" s="350"/>
      <c r="HI11" s="350"/>
      <c r="HJ11" s="350"/>
      <c r="HK11" s="350"/>
      <c r="HL11" s="350"/>
      <c r="HM11" s="350"/>
      <c r="HN11" s="350"/>
      <c r="HO11" s="350"/>
      <c r="HP11" s="350"/>
      <c r="HQ11" s="350"/>
      <c r="HR11" s="350"/>
      <c r="HS11" s="350"/>
      <c r="HT11" s="350"/>
      <c r="HU11" s="350"/>
    </row>
    <row r="12" spans="1:229" ht="17.5" x14ac:dyDescent="0.45">
      <c r="A12" s="269" t="s">
        <v>47</v>
      </c>
      <c r="B12" s="242">
        <v>22710</v>
      </c>
      <c r="C12" s="242">
        <v>5419</v>
      </c>
      <c r="D12" s="242">
        <v>8296</v>
      </c>
      <c r="E12" s="242">
        <v>36425</v>
      </c>
      <c r="F12" s="242">
        <v>16942</v>
      </c>
      <c r="G12" s="242">
        <v>207</v>
      </c>
      <c r="H12" s="242">
        <v>697</v>
      </c>
      <c r="I12" s="242">
        <v>222</v>
      </c>
      <c r="J12" s="34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50"/>
      <c r="AC12" s="350"/>
      <c r="AD12" s="350"/>
      <c r="AE12" s="350"/>
      <c r="AF12" s="350"/>
      <c r="AG12" s="350"/>
      <c r="AH12" s="350"/>
      <c r="AI12" s="350"/>
      <c r="AJ12" s="350"/>
      <c r="AK12" s="350"/>
      <c r="AL12" s="350"/>
      <c r="AM12" s="350"/>
      <c r="AN12" s="350"/>
      <c r="AO12" s="350"/>
      <c r="AP12" s="350"/>
      <c r="AQ12" s="350"/>
      <c r="AR12" s="350"/>
      <c r="AS12" s="350"/>
      <c r="AT12" s="350"/>
      <c r="AU12" s="350"/>
      <c r="AV12" s="350"/>
      <c r="AW12" s="350"/>
      <c r="AX12" s="350"/>
      <c r="AY12" s="350"/>
      <c r="AZ12" s="350"/>
      <c r="BA12" s="350"/>
      <c r="BB12" s="350"/>
      <c r="BC12" s="350"/>
      <c r="BD12" s="350"/>
      <c r="BE12" s="350"/>
      <c r="BF12" s="350"/>
      <c r="BG12" s="350"/>
      <c r="BH12" s="350"/>
      <c r="BI12" s="350"/>
      <c r="BJ12" s="350"/>
      <c r="BK12" s="350"/>
      <c r="BL12" s="350"/>
      <c r="BM12" s="350"/>
      <c r="BN12" s="350"/>
      <c r="BO12" s="350"/>
      <c r="BP12" s="350"/>
      <c r="BQ12" s="350"/>
      <c r="BR12" s="350"/>
      <c r="BS12" s="350"/>
      <c r="BT12" s="350"/>
      <c r="BU12" s="350"/>
      <c r="BV12" s="350"/>
      <c r="BW12" s="350"/>
      <c r="BX12" s="350"/>
      <c r="BY12" s="350"/>
      <c r="BZ12" s="350"/>
      <c r="CA12" s="350"/>
      <c r="CB12" s="350"/>
      <c r="CC12" s="350"/>
      <c r="CD12" s="350"/>
      <c r="CE12" s="350"/>
      <c r="CF12" s="350"/>
      <c r="CG12" s="350"/>
      <c r="CH12" s="350"/>
      <c r="CI12" s="350"/>
      <c r="CJ12" s="350"/>
      <c r="CK12" s="350"/>
      <c r="CL12" s="350"/>
      <c r="CM12" s="350"/>
      <c r="CN12" s="350"/>
      <c r="CO12" s="350"/>
      <c r="CP12" s="350"/>
      <c r="CQ12" s="350"/>
      <c r="CR12" s="350"/>
      <c r="CS12" s="350"/>
      <c r="CT12" s="350"/>
      <c r="CU12" s="350"/>
      <c r="CV12" s="350"/>
      <c r="CW12" s="350"/>
      <c r="CX12" s="350"/>
      <c r="CY12" s="350"/>
      <c r="CZ12" s="350"/>
      <c r="DA12" s="350"/>
      <c r="DB12" s="350"/>
      <c r="DC12" s="350"/>
      <c r="DD12" s="350"/>
      <c r="DE12" s="350"/>
      <c r="DF12" s="350"/>
      <c r="DG12" s="350"/>
      <c r="DH12" s="350"/>
      <c r="DI12" s="350"/>
      <c r="DJ12" s="350"/>
      <c r="DK12" s="350"/>
      <c r="DL12" s="350"/>
      <c r="DM12" s="350"/>
      <c r="DN12" s="350"/>
      <c r="DO12" s="350"/>
      <c r="DP12" s="350"/>
      <c r="DQ12" s="350"/>
      <c r="DR12" s="350"/>
      <c r="DS12" s="350"/>
      <c r="DT12" s="350"/>
      <c r="DU12" s="350"/>
      <c r="DV12" s="350"/>
      <c r="DW12" s="350"/>
      <c r="DX12" s="350"/>
      <c r="DY12" s="350"/>
      <c r="DZ12" s="350"/>
      <c r="EA12" s="350"/>
      <c r="EB12" s="350"/>
      <c r="EC12" s="350"/>
      <c r="ED12" s="350"/>
      <c r="EE12" s="350"/>
      <c r="EF12" s="350"/>
      <c r="EG12" s="350"/>
      <c r="EH12" s="350"/>
      <c r="EI12" s="350"/>
      <c r="EJ12" s="350"/>
      <c r="EK12" s="350"/>
      <c r="EL12" s="350"/>
      <c r="EM12" s="350"/>
      <c r="EN12" s="350"/>
      <c r="EO12" s="350"/>
      <c r="EP12" s="350"/>
      <c r="EQ12" s="350"/>
      <c r="ER12" s="350"/>
      <c r="ES12" s="350"/>
      <c r="ET12" s="350"/>
      <c r="EU12" s="350"/>
      <c r="EV12" s="350"/>
      <c r="EW12" s="350"/>
      <c r="EX12" s="350"/>
      <c r="EY12" s="350"/>
      <c r="EZ12" s="350"/>
      <c r="FA12" s="350"/>
      <c r="FB12" s="350"/>
      <c r="FC12" s="350"/>
      <c r="FD12" s="350"/>
      <c r="FE12" s="350"/>
      <c r="FF12" s="350"/>
      <c r="FG12" s="350"/>
      <c r="FH12" s="350"/>
      <c r="FI12" s="350"/>
      <c r="FJ12" s="350"/>
      <c r="FK12" s="350"/>
      <c r="FL12" s="350"/>
      <c r="FM12" s="350"/>
      <c r="FN12" s="350"/>
      <c r="FO12" s="350"/>
      <c r="FP12" s="350"/>
      <c r="FQ12" s="350"/>
      <c r="FR12" s="350"/>
      <c r="FS12" s="350"/>
      <c r="FT12" s="350"/>
      <c r="FU12" s="350"/>
      <c r="FV12" s="350"/>
      <c r="FW12" s="350"/>
      <c r="FX12" s="350"/>
      <c r="FY12" s="350"/>
      <c r="FZ12" s="350"/>
      <c r="GA12" s="350"/>
      <c r="GB12" s="350"/>
      <c r="GC12" s="350"/>
      <c r="GD12" s="350"/>
      <c r="GE12" s="350"/>
      <c r="GF12" s="350"/>
      <c r="GG12" s="350"/>
      <c r="GH12" s="350"/>
      <c r="GI12" s="350"/>
      <c r="GJ12" s="350"/>
      <c r="GK12" s="350"/>
      <c r="GL12" s="350"/>
      <c r="GM12" s="350"/>
      <c r="GN12" s="350"/>
      <c r="GO12" s="350"/>
      <c r="GP12" s="350"/>
      <c r="GQ12" s="350"/>
      <c r="GR12" s="350"/>
      <c r="GS12" s="350"/>
      <c r="GT12" s="350"/>
      <c r="GU12" s="350"/>
      <c r="GV12" s="350"/>
      <c r="GW12" s="350"/>
      <c r="GX12" s="350"/>
      <c r="GY12" s="350"/>
      <c r="GZ12" s="350"/>
      <c r="HA12" s="350"/>
      <c r="HB12" s="350"/>
      <c r="HC12" s="350"/>
      <c r="HD12" s="350"/>
      <c r="HE12" s="350"/>
      <c r="HF12" s="350"/>
      <c r="HG12" s="350"/>
      <c r="HH12" s="350"/>
      <c r="HI12" s="350"/>
      <c r="HJ12" s="350"/>
      <c r="HK12" s="350"/>
      <c r="HL12" s="350"/>
      <c r="HM12" s="350"/>
      <c r="HN12" s="350"/>
      <c r="HO12" s="350"/>
      <c r="HP12" s="350"/>
      <c r="HQ12" s="350"/>
      <c r="HR12" s="350"/>
      <c r="HS12" s="350"/>
      <c r="HT12" s="350"/>
      <c r="HU12" s="350"/>
    </row>
    <row r="13" spans="1:229" ht="17.5" x14ac:dyDescent="0.45">
      <c r="A13" s="269" t="s">
        <v>48</v>
      </c>
      <c r="B13" s="242">
        <v>31447</v>
      </c>
      <c r="C13" s="242">
        <v>5090</v>
      </c>
      <c r="D13" s="242">
        <v>8886</v>
      </c>
      <c r="E13" s="242">
        <v>45423</v>
      </c>
      <c r="F13" s="242">
        <v>17343</v>
      </c>
      <c r="G13" s="242">
        <v>5667</v>
      </c>
      <c r="H13" s="242">
        <v>8948</v>
      </c>
      <c r="I13" s="242">
        <v>5265</v>
      </c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  <c r="AA13" s="349"/>
      <c r="AB13" s="350"/>
      <c r="AC13" s="350"/>
      <c r="AD13" s="350"/>
      <c r="AE13" s="350"/>
      <c r="AF13" s="350"/>
      <c r="AG13" s="350"/>
      <c r="AH13" s="350"/>
      <c r="AI13" s="350"/>
      <c r="AJ13" s="350"/>
      <c r="AK13" s="350"/>
      <c r="AL13" s="350"/>
      <c r="AM13" s="350"/>
      <c r="AN13" s="350"/>
      <c r="AO13" s="350"/>
      <c r="AP13" s="350"/>
      <c r="AQ13" s="350"/>
      <c r="AR13" s="350"/>
      <c r="AS13" s="350"/>
      <c r="AT13" s="350"/>
      <c r="AU13" s="350"/>
      <c r="AV13" s="350"/>
      <c r="AW13" s="350"/>
      <c r="AX13" s="350"/>
      <c r="AY13" s="350"/>
      <c r="AZ13" s="350"/>
      <c r="BA13" s="350"/>
      <c r="BB13" s="350"/>
      <c r="BC13" s="350"/>
      <c r="BD13" s="350"/>
      <c r="BE13" s="350"/>
      <c r="BF13" s="350"/>
      <c r="BG13" s="350"/>
      <c r="BH13" s="350"/>
      <c r="BI13" s="350"/>
      <c r="BJ13" s="350"/>
      <c r="BK13" s="350"/>
      <c r="BL13" s="350"/>
      <c r="BM13" s="350"/>
      <c r="BN13" s="350"/>
      <c r="BO13" s="350"/>
      <c r="BP13" s="350"/>
      <c r="BQ13" s="350"/>
      <c r="BR13" s="350"/>
      <c r="BS13" s="350"/>
      <c r="BT13" s="350"/>
      <c r="BU13" s="350"/>
      <c r="BV13" s="350"/>
      <c r="BW13" s="350"/>
      <c r="BX13" s="350"/>
      <c r="BY13" s="350"/>
      <c r="BZ13" s="350"/>
      <c r="CA13" s="350"/>
      <c r="CB13" s="350"/>
      <c r="CC13" s="350"/>
      <c r="CD13" s="350"/>
      <c r="CE13" s="350"/>
      <c r="CF13" s="350"/>
      <c r="CG13" s="350"/>
      <c r="CH13" s="350"/>
      <c r="CI13" s="350"/>
      <c r="CJ13" s="350"/>
      <c r="CK13" s="350"/>
      <c r="CL13" s="350"/>
      <c r="CM13" s="350"/>
      <c r="CN13" s="350"/>
      <c r="CO13" s="350"/>
      <c r="CP13" s="350"/>
      <c r="CQ13" s="350"/>
      <c r="CR13" s="350"/>
      <c r="CS13" s="350"/>
      <c r="CT13" s="350"/>
      <c r="CU13" s="350"/>
      <c r="CV13" s="350"/>
      <c r="CW13" s="350"/>
      <c r="CX13" s="350"/>
      <c r="CY13" s="350"/>
      <c r="CZ13" s="350"/>
      <c r="DA13" s="350"/>
      <c r="DB13" s="350"/>
      <c r="DC13" s="350"/>
      <c r="DD13" s="350"/>
      <c r="DE13" s="350"/>
      <c r="DF13" s="350"/>
      <c r="DG13" s="350"/>
      <c r="DH13" s="350"/>
      <c r="DI13" s="350"/>
      <c r="DJ13" s="350"/>
      <c r="DK13" s="350"/>
      <c r="DL13" s="350"/>
      <c r="DM13" s="350"/>
      <c r="DN13" s="350"/>
      <c r="DO13" s="350"/>
      <c r="DP13" s="350"/>
      <c r="DQ13" s="350"/>
      <c r="DR13" s="350"/>
      <c r="DS13" s="350"/>
      <c r="DT13" s="350"/>
      <c r="DU13" s="350"/>
      <c r="DV13" s="350"/>
      <c r="DW13" s="350"/>
      <c r="DX13" s="350"/>
      <c r="DY13" s="350"/>
      <c r="DZ13" s="350"/>
      <c r="EA13" s="350"/>
      <c r="EB13" s="350"/>
      <c r="EC13" s="350"/>
      <c r="ED13" s="350"/>
      <c r="EE13" s="350"/>
      <c r="EF13" s="350"/>
      <c r="EG13" s="350"/>
      <c r="EH13" s="350"/>
      <c r="EI13" s="350"/>
      <c r="EJ13" s="350"/>
      <c r="EK13" s="350"/>
      <c r="EL13" s="350"/>
      <c r="EM13" s="350"/>
      <c r="EN13" s="350"/>
      <c r="EO13" s="350"/>
      <c r="EP13" s="350"/>
      <c r="EQ13" s="350"/>
      <c r="ER13" s="350"/>
      <c r="ES13" s="350"/>
      <c r="ET13" s="350"/>
      <c r="EU13" s="350"/>
      <c r="EV13" s="350"/>
      <c r="EW13" s="350"/>
      <c r="EX13" s="350"/>
      <c r="EY13" s="350"/>
      <c r="EZ13" s="350"/>
      <c r="FA13" s="350"/>
      <c r="FB13" s="350"/>
      <c r="FC13" s="350"/>
      <c r="FD13" s="350"/>
      <c r="FE13" s="350"/>
      <c r="FF13" s="350"/>
      <c r="FG13" s="350"/>
      <c r="FH13" s="350"/>
      <c r="FI13" s="350"/>
      <c r="FJ13" s="350"/>
      <c r="FK13" s="350"/>
      <c r="FL13" s="350"/>
      <c r="FM13" s="350"/>
      <c r="FN13" s="350"/>
      <c r="FO13" s="350"/>
      <c r="FP13" s="350"/>
      <c r="FQ13" s="350"/>
      <c r="FR13" s="350"/>
      <c r="FS13" s="350"/>
      <c r="FT13" s="350"/>
      <c r="FU13" s="350"/>
      <c r="FV13" s="350"/>
      <c r="FW13" s="350"/>
      <c r="FX13" s="350"/>
      <c r="FY13" s="350"/>
      <c r="FZ13" s="350"/>
      <c r="GA13" s="350"/>
      <c r="GB13" s="350"/>
      <c r="GC13" s="350"/>
      <c r="GD13" s="350"/>
      <c r="GE13" s="350"/>
      <c r="GF13" s="350"/>
      <c r="GG13" s="350"/>
      <c r="GH13" s="350"/>
      <c r="GI13" s="350"/>
      <c r="GJ13" s="350"/>
      <c r="GK13" s="350"/>
      <c r="GL13" s="350"/>
      <c r="GM13" s="350"/>
      <c r="GN13" s="350"/>
      <c r="GO13" s="350"/>
      <c r="GP13" s="350"/>
      <c r="GQ13" s="350"/>
      <c r="GR13" s="350"/>
      <c r="GS13" s="350"/>
      <c r="GT13" s="350"/>
      <c r="GU13" s="350"/>
      <c r="GV13" s="350"/>
      <c r="GW13" s="350"/>
      <c r="GX13" s="350"/>
      <c r="GY13" s="350"/>
      <c r="GZ13" s="350"/>
      <c r="HA13" s="350"/>
      <c r="HB13" s="350"/>
      <c r="HC13" s="350"/>
      <c r="HD13" s="350"/>
      <c r="HE13" s="350"/>
      <c r="HF13" s="350"/>
      <c r="HG13" s="350"/>
      <c r="HH13" s="350"/>
      <c r="HI13" s="350"/>
      <c r="HJ13" s="350"/>
      <c r="HK13" s="350"/>
      <c r="HL13" s="350"/>
      <c r="HM13" s="350"/>
      <c r="HN13" s="350"/>
      <c r="HO13" s="350"/>
      <c r="HP13" s="350"/>
      <c r="HQ13" s="350"/>
      <c r="HR13" s="350"/>
      <c r="HS13" s="350"/>
      <c r="HT13" s="350"/>
      <c r="HU13" s="350"/>
    </row>
    <row r="14" spans="1:229" ht="17.5" x14ac:dyDescent="0.45">
      <c r="A14" s="269" t="s">
        <v>49</v>
      </c>
      <c r="B14" s="242">
        <v>26160</v>
      </c>
      <c r="C14" s="242">
        <v>6935</v>
      </c>
      <c r="D14" s="242">
        <v>9238</v>
      </c>
      <c r="E14" s="242">
        <v>42333</v>
      </c>
      <c r="F14" s="242">
        <v>14432</v>
      </c>
      <c r="G14" s="242">
        <v>2919</v>
      </c>
      <c r="H14" s="242">
        <v>5861</v>
      </c>
      <c r="I14" s="242">
        <v>2888</v>
      </c>
      <c r="J14" s="349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  <c r="Y14" s="349"/>
      <c r="Z14" s="349"/>
      <c r="AA14" s="349"/>
      <c r="AB14" s="350"/>
      <c r="AC14" s="350"/>
      <c r="AD14" s="350"/>
      <c r="AE14" s="350"/>
      <c r="AF14" s="350"/>
      <c r="AG14" s="350"/>
      <c r="AH14" s="350"/>
      <c r="AI14" s="350"/>
      <c r="AJ14" s="350"/>
      <c r="AK14" s="350"/>
      <c r="AL14" s="350"/>
      <c r="AM14" s="350"/>
      <c r="AN14" s="350"/>
      <c r="AO14" s="350"/>
      <c r="AP14" s="350"/>
      <c r="AQ14" s="350"/>
      <c r="AR14" s="350"/>
      <c r="AS14" s="350"/>
      <c r="AT14" s="350"/>
      <c r="AU14" s="350"/>
      <c r="AV14" s="350"/>
      <c r="AW14" s="350"/>
      <c r="AX14" s="350"/>
      <c r="AY14" s="350"/>
      <c r="AZ14" s="350"/>
      <c r="BA14" s="350"/>
      <c r="BB14" s="350"/>
      <c r="BC14" s="350"/>
      <c r="BD14" s="350"/>
      <c r="BE14" s="350"/>
      <c r="BF14" s="350"/>
      <c r="BG14" s="350"/>
      <c r="BH14" s="350"/>
      <c r="BI14" s="350"/>
      <c r="BJ14" s="350"/>
      <c r="BK14" s="350"/>
      <c r="BL14" s="350"/>
      <c r="BM14" s="350"/>
      <c r="BN14" s="350"/>
      <c r="BO14" s="350"/>
      <c r="BP14" s="350"/>
      <c r="BQ14" s="350"/>
      <c r="BR14" s="350"/>
      <c r="BS14" s="350"/>
      <c r="BT14" s="350"/>
      <c r="BU14" s="350"/>
      <c r="BV14" s="350"/>
      <c r="BW14" s="350"/>
      <c r="BX14" s="350"/>
      <c r="BY14" s="350"/>
      <c r="BZ14" s="350"/>
      <c r="CA14" s="350"/>
      <c r="CB14" s="350"/>
      <c r="CC14" s="350"/>
      <c r="CD14" s="350"/>
      <c r="CE14" s="350"/>
      <c r="CF14" s="350"/>
      <c r="CG14" s="350"/>
      <c r="CH14" s="350"/>
      <c r="CI14" s="350"/>
      <c r="CJ14" s="350"/>
      <c r="CK14" s="350"/>
      <c r="CL14" s="350"/>
      <c r="CM14" s="350"/>
      <c r="CN14" s="350"/>
      <c r="CO14" s="350"/>
      <c r="CP14" s="350"/>
      <c r="CQ14" s="350"/>
      <c r="CR14" s="350"/>
      <c r="CS14" s="350"/>
      <c r="CT14" s="350"/>
      <c r="CU14" s="350"/>
      <c r="CV14" s="350"/>
      <c r="CW14" s="350"/>
      <c r="CX14" s="350"/>
      <c r="CY14" s="350"/>
      <c r="CZ14" s="350"/>
      <c r="DA14" s="350"/>
      <c r="DB14" s="350"/>
      <c r="DC14" s="350"/>
      <c r="DD14" s="350"/>
      <c r="DE14" s="350"/>
      <c r="DF14" s="350"/>
      <c r="DG14" s="350"/>
      <c r="DH14" s="350"/>
      <c r="DI14" s="350"/>
      <c r="DJ14" s="350"/>
      <c r="DK14" s="350"/>
      <c r="DL14" s="350"/>
      <c r="DM14" s="350"/>
      <c r="DN14" s="350"/>
      <c r="DO14" s="350"/>
      <c r="DP14" s="350"/>
      <c r="DQ14" s="350"/>
      <c r="DR14" s="350"/>
      <c r="DS14" s="350"/>
      <c r="DT14" s="350"/>
      <c r="DU14" s="350"/>
      <c r="DV14" s="350"/>
      <c r="DW14" s="350"/>
      <c r="DX14" s="350"/>
      <c r="DY14" s="350"/>
      <c r="DZ14" s="350"/>
      <c r="EA14" s="350"/>
      <c r="EB14" s="350"/>
      <c r="EC14" s="350"/>
      <c r="ED14" s="350"/>
      <c r="EE14" s="350"/>
      <c r="EF14" s="350"/>
      <c r="EG14" s="350"/>
      <c r="EH14" s="350"/>
      <c r="EI14" s="350"/>
      <c r="EJ14" s="350"/>
      <c r="EK14" s="350"/>
      <c r="EL14" s="350"/>
      <c r="EM14" s="350"/>
      <c r="EN14" s="350"/>
      <c r="EO14" s="350"/>
      <c r="EP14" s="350"/>
      <c r="EQ14" s="350"/>
      <c r="ER14" s="350"/>
      <c r="ES14" s="350"/>
      <c r="ET14" s="350"/>
      <c r="EU14" s="350"/>
      <c r="EV14" s="350"/>
      <c r="EW14" s="350"/>
      <c r="EX14" s="350"/>
      <c r="EY14" s="350"/>
      <c r="EZ14" s="350"/>
      <c r="FA14" s="350"/>
      <c r="FB14" s="350"/>
      <c r="FC14" s="350"/>
      <c r="FD14" s="350"/>
      <c r="FE14" s="350"/>
      <c r="FF14" s="350"/>
      <c r="FG14" s="350"/>
      <c r="FH14" s="350"/>
      <c r="FI14" s="350"/>
      <c r="FJ14" s="350"/>
      <c r="FK14" s="350"/>
      <c r="FL14" s="350"/>
      <c r="FM14" s="350"/>
      <c r="FN14" s="350"/>
      <c r="FO14" s="350"/>
      <c r="FP14" s="350"/>
      <c r="FQ14" s="350"/>
      <c r="FR14" s="350"/>
      <c r="FS14" s="350"/>
      <c r="FT14" s="350"/>
      <c r="FU14" s="350"/>
      <c r="FV14" s="350"/>
      <c r="FW14" s="350"/>
      <c r="FX14" s="350"/>
      <c r="FY14" s="350"/>
      <c r="FZ14" s="350"/>
      <c r="GA14" s="350"/>
      <c r="GB14" s="350"/>
      <c r="GC14" s="350"/>
      <c r="GD14" s="350"/>
      <c r="GE14" s="350"/>
      <c r="GF14" s="350"/>
      <c r="GG14" s="350"/>
      <c r="GH14" s="350"/>
      <c r="GI14" s="350"/>
      <c r="GJ14" s="350"/>
      <c r="GK14" s="350"/>
      <c r="GL14" s="350"/>
      <c r="GM14" s="350"/>
      <c r="GN14" s="350"/>
      <c r="GO14" s="350"/>
      <c r="GP14" s="350"/>
      <c r="GQ14" s="350"/>
      <c r="GR14" s="350"/>
      <c r="GS14" s="350"/>
      <c r="GT14" s="350"/>
      <c r="GU14" s="350"/>
      <c r="GV14" s="350"/>
      <c r="GW14" s="350"/>
      <c r="GX14" s="350"/>
      <c r="GY14" s="350"/>
      <c r="GZ14" s="350"/>
      <c r="HA14" s="350"/>
      <c r="HB14" s="350"/>
      <c r="HC14" s="350"/>
      <c r="HD14" s="350"/>
      <c r="HE14" s="350"/>
      <c r="HF14" s="350"/>
      <c r="HG14" s="350"/>
      <c r="HH14" s="350"/>
      <c r="HI14" s="350"/>
      <c r="HJ14" s="350"/>
      <c r="HK14" s="350"/>
      <c r="HL14" s="350"/>
      <c r="HM14" s="350"/>
      <c r="HN14" s="350"/>
      <c r="HO14" s="350"/>
      <c r="HP14" s="350"/>
      <c r="HQ14" s="350"/>
      <c r="HR14" s="350"/>
      <c r="HS14" s="350"/>
      <c r="HT14" s="350"/>
      <c r="HU14" s="350"/>
    </row>
    <row r="15" spans="1:229" ht="17.5" x14ac:dyDescent="0.45">
      <c r="A15" s="269" t="s">
        <v>50</v>
      </c>
      <c r="B15" s="242">
        <v>22850</v>
      </c>
      <c r="C15" s="242">
        <v>5590</v>
      </c>
      <c r="D15" s="242">
        <v>8111</v>
      </c>
      <c r="E15" s="242">
        <v>36551</v>
      </c>
      <c r="F15" s="242">
        <v>14310</v>
      </c>
      <c r="G15" s="242">
        <v>2737</v>
      </c>
      <c r="H15" s="242">
        <v>4841</v>
      </c>
      <c r="I15" s="242">
        <v>2627</v>
      </c>
      <c r="J15" s="34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49"/>
      <c r="AA15" s="349"/>
      <c r="AB15" s="350"/>
      <c r="AC15" s="350"/>
      <c r="AD15" s="350"/>
      <c r="AE15" s="350"/>
      <c r="AF15" s="350"/>
      <c r="AG15" s="350"/>
      <c r="AH15" s="350"/>
      <c r="AI15" s="350"/>
      <c r="AJ15" s="350"/>
      <c r="AK15" s="350"/>
      <c r="AL15" s="350"/>
      <c r="AM15" s="350"/>
      <c r="AN15" s="350"/>
      <c r="AO15" s="350"/>
      <c r="AP15" s="350"/>
      <c r="AQ15" s="350"/>
      <c r="AR15" s="350"/>
      <c r="AS15" s="350"/>
      <c r="AT15" s="350"/>
      <c r="AU15" s="350"/>
      <c r="AV15" s="350"/>
      <c r="AW15" s="350"/>
      <c r="AX15" s="350"/>
      <c r="AY15" s="350"/>
      <c r="AZ15" s="350"/>
      <c r="BA15" s="350"/>
      <c r="BB15" s="350"/>
      <c r="BC15" s="350"/>
      <c r="BD15" s="350"/>
      <c r="BE15" s="350"/>
      <c r="BF15" s="350"/>
      <c r="BG15" s="350"/>
      <c r="BH15" s="350"/>
      <c r="BI15" s="350"/>
      <c r="BJ15" s="350"/>
      <c r="BK15" s="350"/>
      <c r="BL15" s="350"/>
      <c r="BM15" s="350"/>
      <c r="BN15" s="350"/>
      <c r="BO15" s="350"/>
      <c r="BP15" s="350"/>
      <c r="BQ15" s="350"/>
      <c r="BR15" s="350"/>
      <c r="BS15" s="350"/>
      <c r="BT15" s="350"/>
      <c r="BU15" s="350"/>
      <c r="BV15" s="350"/>
      <c r="BW15" s="350"/>
      <c r="BX15" s="350"/>
      <c r="BY15" s="350"/>
      <c r="BZ15" s="350"/>
      <c r="CA15" s="350"/>
      <c r="CB15" s="350"/>
      <c r="CC15" s="350"/>
      <c r="CD15" s="350"/>
      <c r="CE15" s="350"/>
      <c r="CF15" s="350"/>
      <c r="CG15" s="350"/>
      <c r="CH15" s="350"/>
      <c r="CI15" s="350"/>
      <c r="CJ15" s="350"/>
      <c r="CK15" s="350"/>
      <c r="CL15" s="350"/>
      <c r="CM15" s="350"/>
      <c r="CN15" s="350"/>
      <c r="CO15" s="350"/>
      <c r="CP15" s="350"/>
      <c r="CQ15" s="350"/>
      <c r="CR15" s="350"/>
      <c r="CS15" s="350"/>
      <c r="CT15" s="350"/>
      <c r="CU15" s="350"/>
      <c r="CV15" s="350"/>
      <c r="CW15" s="350"/>
      <c r="CX15" s="350"/>
      <c r="CY15" s="350"/>
      <c r="CZ15" s="350"/>
      <c r="DA15" s="350"/>
      <c r="DB15" s="350"/>
      <c r="DC15" s="350"/>
      <c r="DD15" s="350"/>
      <c r="DE15" s="350"/>
      <c r="DF15" s="350"/>
      <c r="DG15" s="350"/>
      <c r="DH15" s="350"/>
      <c r="DI15" s="350"/>
      <c r="DJ15" s="350"/>
      <c r="DK15" s="350"/>
      <c r="DL15" s="350"/>
      <c r="DM15" s="350"/>
      <c r="DN15" s="350"/>
      <c r="DO15" s="350"/>
      <c r="DP15" s="350"/>
      <c r="DQ15" s="350"/>
      <c r="DR15" s="350"/>
      <c r="DS15" s="350"/>
      <c r="DT15" s="350"/>
      <c r="DU15" s="350"/>
      <c r="DV15" s="350"/>
      <c r="DW15" s="350"/>
      <c r="DX15" s="350"/>
      <c r="DY15" s="350"/>
      <c r="DZ15" s="350"/>
      <c r="EA15" s="350"/>
      <c r="EB15" s="350"/>
      <c r="EC15" s="350"/>
      <c r="ED15" s="350"/>
      <c r="EE15" s="350"/>
      <c r="EF15" s="350"/>
      <c r="EG15" s="350"/>
      <c r="EH15" s="350"/>
      <c r="EI15" s="350"/>
      <c r="EJ15" s="350"/>
      <c r="EK15" s="350"/>
      <c r="EL15" s="350"/>
      <c r="EM15" s="350"/>
      <c r="EN15" s="350"/>
      <c r="EO15" s="350"/>
      <c r="EP15" s="350"/>
      <c r="EQ15" s="350"/>
      <c r="ER15" s="350"/>
      <c r="ES15" s="350"/>
      <c r="ET15" s="350"/>
      <c r="EU15" s="350"/>
      <c r="EV15" s="350"/>
      <c r="EW15" s="350"/>
      <c r="EX15" s="350"/>
      <c r="EY15" s="350"/>
      <c r="EZ15" s="350"/>
      <c r="FA15" s="350"/>
      <c r="FB15" s="350"/>
      <c r="FC15" s="350"/>
      <c r="FD15" s="350"/>
      <c r="FE15" s="350"/>
      <c r="FF15" s="350"/>
      <c r="FG15" s="350"/>
      <c r="FH15" s="350"/>
      <c r="FI15" s="350"/>
      <c r="FJ15" s="350"/>
      <c r="FK15" s="350"/>
      <c r="FL15" s="350"/>
      <c r="FM15" s="350"/>
      <c r="FN15" s="350"/>
      <c r="FO15" s="350"/>
      <c r="FP15" s="350"/>
      <c r="FQ15" s="350"/>
      <c r="FR15" s="350"/>
      <c r="FS15" s="350"/>
      <c r="FT15" s="350"/>
      <c r="FU15" s="350"/>
      <c r="FV15" s="350"/>
      <c r="FW15" s="350"/>
      <c r="FX15" s="350"/>
      <c r="FY15" s="350"/>
      <c r="FZ15" s="350"/>
      <c r="GA15" s="350"/>
      <c r="GB15" s="350"/>
      <c r="GC15" s="350"/>
      <c r="GD15" s="350"/>
      <c r="GE15" s="350"/>
      <c r="GF15" s="350"/>
      <c r="GG15" s="350"/>
      <c r="GH15" s="350"/>
      <c r="GI15" s="350"/>
      <c r="GJ15" s="350"/>
      <c r="GK15" s="350"/>
      <c r="GL15" s="350"/>
      <c r="GM15" s="350"/>
      <c r="GN15" s="350"/>
      <c r="GO15" s="350"/>
      <c r="GP15" s="350"/>
      <c r="GQ15" s="350"/>
      <c r="GR15" s="350"/>
      <c r="GS15" s="350"/>
      <c r="GT15" s="350"/>
      <c r="GU15" s="350"/>
      <c r="GV15" s="350"/>
      <c r="GW15" s="350"/>
      <c r="GX15" s="350"/>
      <c r="GY15" s="350"/>
      <c r="GZ15" s="350"/>
      <c r="HA15" s="350"/>
      <c r="HB15" s="350"/>
      <c r="HC15" s="350"/>
      <c r="HD15" s="350"/>
      <c r="HE15" s="350"/>
      <c r="HF15" s="350"/>
      <c r="HG15" s="350"/>
      <c r="HH15" s="350"/>
      <c r="HI15" s="350"/>
      <c r="HJ15" s="350"/>
      <c r="HK15" s="350"/>
      <c r="HL15" s="350"/>
      <c r="HM15" s="350"/>
      <c r="HN15" s="350"/>
      <c r="HO15" s="350"/>
      <c r="HP15" s="350"/>
      <c r="HQ15" s="350"/>
      <c r="HR15" s="350"/>
      <c r="HS15" s="350"/>
      <c r="HT15" s="350"/>
      <c r="HU15" s="350"/>
    </row>
    <row r="16" spans="1:229" ht="17.5" x14ac:dyDescent="0.45">
      <c r="A16" s="269" t="s">
        <v>51</v>
      </c>
      <c r="B16" s="242">
        <v>14657</v>
      </c>
      <c r="C16" s="242">
        <v>3122</v>
      </c>
      <c r="D16" s="242">
        <v>5026</v>
      </c>
      <c r="E16" s="242">
        <v>22805</v>
      </c>
      <c r="F16" s="242">
        <v>18326</v>
      </c>
      <c r="G16" s="242">
        <v>1615</v>
      </c>
      <c r="H16" s="242">
        <v>3554</v>
      </c>
      <c r="I16" s="242">
        <v>3477</v>
      </c>
      <c r="J16" s="349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  <c r="X16" s="349"/>
      <c r="Y16" s="349"/>
      <c r="Z16" s="349"/>
      <c r="AA16" s="349"/>
      <c r="AB16" s="350"/>
      <c r="AC16" s="350"/>
      <c r="AD16" s="350"/>
      <c r="AE16" s="350"/>
      <c r="AF16" s="350"/>
      <c r="AG16" s="350"/>
      <c r="AH16" s="350"/>
      <c r="AI16" s="350"/>
      <c r="AJ16" s="350"/>
      <c r="AK16" s="350"/>
      <c r="AL16" s="350"/>
      <c r="AM16" s="350"/>
      <c r="AN16" s="350"/>
      <c r="AO16" s="350"/>
      <c r="AP16" s="350"/>
      <c r="AQ16" s="350"/>
      <c r="AR16" s="350"/>
      <c r="AS16" s="350"/>
      <c r="AT16" s="350"/>
      <c r="AU16" s="350"/>
      <c r="AV16" s="350"/>
      <c r="AW16" s="350"/>
      <c r="AX16" s="350"/>
      <c r="AY16" s="350"/>
      <c r="AZ16" s="350"/>
      <c r="BA16" s="350"/>
      <c r="BB16" s="350"/>
      <c r="BC16" s="350"/>
      <c r="BD16" s="350"/>
      <c r="BE16" s="350"/>
      <c r="BF16" s="350"/>
      <c r="BG16" s="350"/>
      <c r="BH16" s="350"/>
      <c r="BI16" s="350"/>
      <c r="BJ16" s="350"/>
      <c r="BK16" s="350"/>
      <c r="BL16" s="350"/>
      <c r="BM16" s="350"/>
      <c r="BN16" s="350"/>
      <c r="BO16" s="350"/>
      <c r="BP16" s="350"/>
      <c r="BQ16" s="350"/>
      <c r="BR16" s="350"/>
      <c r="BS16" s="350"/>
      <c r="BT16" s="350"/>
      <c r="BU16" s="350"/>
      <c r="BV16" s="350"/>
      <c r="BW16" s="350"/>
      <c r="BX16" s="350"/>
      <c r="BY16" s="350"/>
      <c r="BZ16" s="350"/>
      <c r="CA16" s="350"/>
      <c r="CB16" s="350"/>
      <c r="CC16" s="350"/>
      <c r="CD16" s="350"/>
      <c r="CE16" s="350"/>
      <c r="CF16" s="350"/>
      <c r="CG16" s="350"/>
      <c r="CH16" s="350"/>
      <c r="CI16" s="350"/>
      <c r="CJ16" s="350"/>
      <c r="CK16" s="350"/>
      <c r="CL16" s="350"/>
      <c r="CM16" s="350"/>
      <c r="CN16" s="350"/>
      <c r="CO16" s="350"/>
      <c r="CP16" s="350"/>
      <c r="CQ16" s="350"/>
      <c r="CR16" s="350"/>
      <c r="CS16" s="350"/>
      <c r="CT16" s="350"/>
      <c r="CU16" s="350"/>
      <c r="CV16" s="350"/>
      <c r="CW16" s="350"/>
      <c r="CX16" s="350"/>
      <c r="CY16" s="350"/>
      <c r="CZ16" s="350"/>
      <c r="DA16" s="350"/>
      <c r="DB16" s="350"/>
      <c r="DC16" s="350"/>
      <c r="DD16" s="350"/>
      <c r="DE16" s="350"/>
      <c r="DF16" s="350"/>
      <c r="DG16" s="350"/>
      <c r="DH16" s="350"/>
      <c r="DI16" s="350"/>
      <c r="DJ16" s="350"/>
      <c r="DK16" s="350"/>
      <c r="DL16" s="350"/>
      <c r="DM16" s="350"/>
      <c r="DN16" s="350"/>
      <c r="DO16" s="350"/>
      <c r="DP16" s="350"/>
      <c r="DQ16" s="350"/>
      <c r="DR16" s="350"/>
      <c r="DS16" s="350"/>
      <c r="DT16" s="350"/>
      <c r="DU16" s="350"/>
      <c r="DV16" s="350"/>
      <c r="DW16" s="350"/>
      <c r="DX16" s="350"/>
      <c r="DY16" s="350"/>
      <c r="DZ16" s="350"/>
      <c r="EA16" s="350"/>
      <c r="EB16" s="350"/>
      <c r="EC16" s="350"/>
      <c r="ED16" s="350"/>
      <c r="EE16" s="350"/>
      <c r="EF16" s="350"/>
      <c r="EG16" s="350"/>
      <c r="EH16" s="350"/>
      <c r="EI16" s="350"/>
      <c r="EJ16" s="350"/>
      <c r="EK16" s="350"/>
      <c r="EL16" s="350"/>
      <c r="EM16" s="350"/>
      <c r="EN16" s="350"/>
      <c r="EO16" s="350"/>
      <c r="EP16" s="350"/>
      <c r="EQ16" s="350"/>
      <c r="ER16" s="350"/>
      <c r="ES16" s="350"/>
      <c r="ET16" s="350"/>
      <c r="EU16" s="350"/>
      <c r="EV16" s="350"/>
      <c r="EW16" s="350"/>
      <c r="EX16" s="350"/>
      <c r="EY16" s="350"/>
      <c r="EZ16" s="350"/>
      <c r="FA16" s="350"/>
      <c r="FB16" s="350"/>
      <c r="FC16" s="350"/>
      <c r="FD16" s="350"/>
      <c r="FE16" s="350"/>
      <c r="FF16" s="350"/>
      <c r="FG16" s="350"/>
      <c r="FH16" s="350"/>
      <c r="FI16" s="350"/>
      <c r="FJ16" s="350"/>
      <c r="FK16" s="350"/>
      <c r="FL16" s="350"/>
      <c r="FM16" s="350"/>
      <c r="FN16" s="350"/>
      <c r="FO16" s="350"/>
      <c r="FP16" s="350"/>
      <c r="FQ16" s="350"/>
      <c r="FR16" s="350"/>
      <c r="FS16" s="350"/>
      <c r="FT16" s="350"/>
      <c r="FU16" s="350"/>
      <c r="FV16" s="350"/>
      <c r="FW16" s="350"/>
      <c r="FX16" s="350"/>
      <c r="FY16" s="350"/>
      <c r="FZ16" s="350"/>
      <c r="GA16" s="350"/>
      <c r="GB16" s="350"/>
      <c r="GC16" s="350"/>
      <c r="GD16" s="350"/>
      <c r="GE16" s="350"/>
      <c r="GF16" s="350"/>
      <c r="GG16" s="350"/>
      <c r="GH16" s="350"/>
      <c r="GI16" s="350"/>
      <c r="GJ16" s="350"/>
      <c r="GK16" s="350"/>
      <c r="GL16" s="350"/>
      <c r="GM16" s="350"/>
      <c r="GN16" s="350"/>
      <c r="GO16" s="350"/>
      <c r="GP16" s="350"/>
      <c r="GQ16" s="350"/>
      <c r="GR16" s="350"/>
      <c r="GS16" s="350"/>
      <c r="GT16" s="350"/>
      <c r="GU16" s="350"/>
      <c r="GV16" s="350"/>
      <c r="GW16" s="350"/>
      <c r="GX16" s="350"/>
      <c r="GY16" s="350"/>
      <c r="GZ16" s="350"/>
      <c r="HA16" s="350"/>
      <c r="HB16" s="350"/>
      <c r="HC16" s="350"/>
      <c r="HD16" s="350"/>
      <c r="HE16" s="350"/>
      <c r="HF16" s="350"/>
      <c r="HG16" s="350"/>
      <c r="HH16" s="350"/>
      <c r="HI16" s="350"/>
      <c r="HJ16" s="350"/>
      <c r="HK16" s="350"/>
      <c r="HL16" s="350"/>
      <c r="HM16" s="350"/>
      <c r="HN16" s="350"/>
      <c r="HO16" s="350"/>
      <c r="HP16" s="350"/>
      <c r="HQ16" s="350"/>
      <c r="HR16" s="350"/>
      <c r="HS16" s="350"/>
      <c r="HT16" s="350"/>
      <c r="HU16" s="350"/>
    </row>
    <row r="17" spans="1:229" ht="17.5" x14ac:dyDescent="0.45">
      <c r="A17" s="269" t="s">
        <v>52</v>
      </c>
      <c r="B17" s="242">
        <v>21596</v>
      </c>
      <c r="C17" s="242">
        <v>1129</v>
      </c>
      <c r="D17" s="242">
        <v>2477</v>
      </c>
      <c r="E17" s="242">
        <v>25202</v>
      </c>
      <c r="F17" s="242">
        <v>6340</v>
      </c>
      <c r="G17" s="242">
        <v>285</v>
      </c>
      <c r="H17" s="242">
        <v>1325</v>
      </c>
      <c r="I17" s="242">
        <v>836</v>
      </c>
      <c r="J17" s="349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  <c r="Y17" s="349"/>
      <c r="Z17" s="349"/>
      <c r="AA17" s="349"/>
      <c r="AB17" s="350"/>
      <c r="AC17" s="350"/>
      <c r="AD17" s="350"/>
      <c r="AE17" s="350"/>
      <c r="AF17" s="350"/>
      <c r="AG17" s="350"/>
      <c r="AH17" s="350"/>
      <c r="AI17" s="350"/>
      <c r="AJ17" s="350"/>
      <c r="AK17" s="350"/>
      <c r="AL17" s="350"/>
      <c r="AM17" s="350"/>
      <c r="AN17" s="350"/>
      <c r="AO17" s="350"/>
      <c r="AP17" s="350"/>
      <c r="AQ17" s="350"/>
      <c r="AR17" s="350"/>
      <c r="AS17" s="350"/>
      <c r="AT17" s="350"/>
      <c r="AU17" s="350"/>
      <c r="AV17" s="350"/>
      <c r="AW17" s="350"/>
      <c r="AX17" s="350"/>
      <c r="AY17" s="350"/>
      <c r="AZ17" s="350"/>
      <c r="BA17" s="350"/>
      <c r="BB17" s="350"/>
      <c r="BC17" s="350"/>
      <c r="BD17" s="350"/>
      <c r="BE17" s="350"/>
      <c r="BF17" s="350"/>
      <c r="BG17" s="350"/>
      <c r="BH17" s="350"/>
      <c r="BI17" s="350"/>
      <c r="BJ17" s="350"/>
      <c r="BK17" s="350"/>
      <c r="BL17" s="350"/>
      <c r="BM17" s="350"/>
      <c r="BN17" s="350"/>
      <c r="BO17" s="350"/>
      <c r="BP17" s="350"/>
      <c r="BQ17" s="350"/>
      <c r="BR17" s="350"/>
      <c r="BS17" s="350"/>
      <c r="BT17" s="350"/>
      <c r="BU17" s="350"/>
      <c r="BV17" s="350"/>
      <c r="BW17" s="350"/>
      <c r="BX17" s="350"/>
      <c r="BY17" s="350"/>
      <c r="BZ17" s="350"/>
      <c r="CA17" s="350"/>
      <c r="CB17" s="350"/>
      <c r="CC17" s="350"/>
      <c r="CD17" s="350"/>
      <c r="CE17" s="350"/>
      <c r="CF17" s="350"/>
      <c r="CG17" s="350"/>
      <c r="CH17" s="350"/>
      <c r="CI17" s="350"/>
      <c r="CJ17" s="350"/>
      <c r="CK17" s="350"/>
      <c r="CL17" s="350"/>
      <c r="CM17" s="350"/>
      <c r="CN17" s="350"/>
      <c r="CO17" s="350"/>
      <c r="CP17" s="350"/>
      <c r="CQ17" s="350"/>
      <c r="CR17" s="350"/>
      <c r="CS17" s="350"/>
      <c r="CT17" s="350"/>
      <c r="CU17" s="350"/>
      <c r="CV17" s="350"/>
      <c r="CW17" s="350"/>
      <c r="CX17" s="350"/>
      <c r="CY17" s="350"/>
      <c r="CZ17" s="350"/>
      <c r="DA17" s="350"/>
      <c r="DB17" s="350"/>
      <c r="DC17" s="350"/>
      <c r="DD17" s="350"/>
      <c r="DE17" s="350"/>
      <c r="DF17" s="350"/>
      <c r="DG17" s="350"/>
      <c r="DH17" s="350"/>
      <c r="DI17" s="350"/>
      <c r="DJ17" s="350"/>
      <c r="DK17" s="350"/>
      <c r="DL17" s="350"/>
      <c r="DM17" s="350"/>
      <c r="DN17" s="350"/>
      <c r="DO17" s="350"/>
      <c r="DP17" s="350"/>
      <c r="DQ17" s="350"/>
      <c r="DR17" s="350"/>
      <c r="DS17" s="350"/>
      <c r="DT17" s="350"/>
      <c r="DU17" s="350"/>
      <c r="DV17" s="350"/>
      <c r="DW17" s="350"/>
      <c r="DX17" s="350"/>
      <c r="DY17" s="350"/>
      <c r="DZ17" s="350"/>
      <c r="EA17" s="350"/>
      <c r="EB17" s="350"/>
      <c r="EC17" s="350"/>
      <c r="ED17" s="350"/>
      <c r="EE17" s="350"/>
      <c r="EF17" s="350"/>
      <c r="EG17" s="350"/>
      <c r="EH17" s="350"/>
      <c r="EI17" s="350"/>
      <c r="EJ17" s="350"/>
      <c r="EK17" s="350"/>
      <c r="EL17" s="350"/>
      <c r="EM17" s="350"/>
      <c r="EN17" s="350"/>
      <c r="EO17" s="350"/>
      <c r="EP17" s="350"/>
      <c r="EQ17" s="350"/>
      <c r="ER17" s="350"/>
      <c r="ES17" s="350"/>
      <c r="ET17" s="350"/>
      <c r="EU17" s="350"/>
      <c r="EV17" s="350"/>
      <c r="EW17" s="350"/>
      <c r="EX17" s="350"/>
      <c r="EY17" s="350"/>
      <c r="EZ17" s="350"/>
      <c r="FA17" s="350"/>
      <c r="FB17" s="350"/>
      <c r="FC17" s="350"/>
      <c r="FD17" s="350"/>
      <c r="FE17" s="350"/>
      <c r="FF17" s="350"/>
      <c r="FG17" s="350"/>
      <c r="FH17" s="350"/>
      <c r="FI17" s="350"/>
      <c r="FJ17" s="350"/>
      <c r="FK17" s="350"/>
      <c r="FL17" s="350"/>
      <c r="FM17" s="350"/>
      <c r="FN17" s="350"/>
      <c r="FO17" s="350"/>
      <c r="FP17" s="350"/>
      <c r="FQ17" s="350"/>
      <c r="FR17" s="350"/>
      <c r="FS17" s="350"/>
      <c r="FT17" s="350"/>
      <c r="FU17" s="350"/>
      <c r="FV17" s="350"/>
      <c r="FW17" s="350"/>
      <c r="FX17" s="350"/>
      <c r="FY17" s="350"/>
      <c r="FZ17" s="350"/>
      <c r="GA17" s="350"/>
      <c r="GB17" s="350"/>
      <c r="GC17" s="350"/>
      <c r="GD17" s="350"/>
      <c r="GE17" s="350"/>
      <c r="GF17" s="350"/>
      <c r="GG17" s="350"/>
      <c r="GH17" s="350"/>
      <c r="GI17" s="350"/>
      <c r="GJ17" s="350"/>
      <c r="GK17" s="350"/>
      <c r="GL17" s="350"/>
      <c r="GM17" s="350"/>
      <c r="GN17" s="350"/>
      <c r="GO17" s="350"/>
      <c r="GP17" s="350"/>
      <c r="GQ17" s="350"/>
      <c r="GR17" s="350"/>
      <c r="GS17" s="350"/>
      <c r="GT17" s="350"/>
      <c r="GU17" s="350"/>
      <c r="GV17" s="350"/>
      <c r="GW17" s="350"/>
      <c r="GX17" s="350"/>
      <c r="GY17" s="350"/>
      <c r="GZ17" s="350"/>
      <c r="HA17" s="350"/>
      <c r="HB17" s="350"/>
      <c r="HC17" s="350"/>
      <c r="HD17" s="350"/>
      <c r="HE17" s="350"/>
      <c r="HF17" s="350"/>
      <c r="HG17" s="350"/>
      <c r="HH17" s="350"/>
      <c r="HI17" s="350"/>
      <c r="HJ17" s="350"/>
      <c r="HK17" s="350"/>
      <c r="HL17" s="350"/>
      <c r="HM17" s="350"/>
      <c r="HN17" s="350"/>
      <c r="HO17" s="350"/>
      <c r="HP17" s="350"/>
      <c r="HQ17" s="350"/>
      <c r="HR17" s="350"/>
      <c r="HS17" s="350"/>
      <c r="HT17" s="350"/>
      <c r="HU17" s="350"/>
    </row>
    <row r="18" spans="1:229" ht="17.5" x14ac:dyDescent="0.45">
      <c r="A18" s="269" t="s">
        <v>53</v>
      </c>
      <c r="B18" s="242">
        <v>-5209</v>
      </c>
      <c r="C18" s="242">
        <v>1492</v>
      </c>
      <c r="D18" s="242">
        <v>1861</v>
      </c>
      <c r="E18" s="242">
        <v>-1856</v>
      </c>
      <c r="F18" s="242">
        <v>5944</v>
      </c>
      <c r="G18" s="242">
        <v>465</v>
      </c>
      <c r="H18" s="242">
        <v>1315</v>
      </c>
      <c r="I18" s="242">
        <v>836</v>
      </c>
      <c r="J18" s="34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350"/>
      <c r="AC18" s="350"/>
      <c r="AD18" s="350"/>
      <c r="AE18" s="350"/>
      <c r="AF18" s="350"/>
      <c r="AG18" s="350"/>
      <c r="AH18" s="350"/>
      <c r="AI18" s="350"/>
      <c r="AJ18" s="350"/>
      <c r="AK18" s="350"/>
      <c r="AL18" s="350"/>
      <c r="AM18" s="350"/>
      <c r="AN18" s="350"/>
      <c r="AO18" s="350"/>
      <c r="AP18" s="350"/>
      <c r="AQ18" s="350"/>
      <c r="AR18" s="350"/>
      <c r="AS18" s="350"/>
      <c r="AT18" s="350"/>
      <c r="AU18" s="350"/>
      <c r="AV18" s="350"/>
      <c r="AW18" s="350"/>
      <c r="AX18" s="350"/>
      <c r="AY18" s="350"/>
      <c r="AZ18" s="350"/>
      <c r="BA18" s="350"/>
      <c r="BB18" s="350"/>
      <c r="BC18" s="350"/>
      <c r="BD18" s="350"/>
      <c r="BE18" s="350"/>
      <c r="BF18" s="350"/>
      <c r="BG18" s="350"/>
      <c r="BH18" s="350"/>
      <c r="BI18" s="350"/>
      <c r="BJ18" s="350"/>
      <c r="BK18" s="350"/>
      <c r="BL18" s="350"/>
      <c r="BM18" s="350"/>
      <c r="BN18" s="350"/>
      <c r="BO18" s="350"/>
      <c r="BP18" s="350"/>
      <c r="BQ18" s="350"/>
      <c r="BR18" s="350"/>
      <c r="BS18" s="350"/>
      <c r="BT18" s="350"/>
      <c r="BU18" s="350"/>
      <c r="BV18" s="350"/>
      <c r="BW18" s="350"/>
      <c r="BX18" s="350"/>
      <c r="BY18" s="350"/>
      <c r="BZ18" s="350"/>
      <c r="CA18" s="350"/>
      <c r="CB18" s="350"/>
      <c r="CC18" s="350"/>
      <c r="CD18" s="350"/>
      <c r="CE18" s="350"/>
      <c r="CF18" s="350"/>
      <c r="CG18" s="350"/>
      <c r="CH18" s="350"/>
      <c r="CI18" s="350"/>
      <c r="CJ18" s="350"/>
      <c r="CK18" s="350"/>
      <c r="CL18" s="350"/>
      <c r="CM18" s="350"/>
      <c r="CN18" s="350"/>
      <c r="CO18" s="350"/>
      <c r="CP18" s="350"/>
      <c r="CQ18" s="350"/>
      <c r="CR18" s="350"/>
      <c r="CS18" s="350"/>
      <c r="CT18" s="350"/>
      <c r="CU18" s="350"/>
      <c r="CV18" s="350"/>
      <c r="CW18" s="350"/>
      <c r="CX18" s="350"/>
      <c r="CY18" s="350"/>
      <c r="CZ18" s="350"/>
      <c r="DA18" s="350"/>
      <c r="DB18" s="350"/>
      <c r="DC18" s="350"/>
      <c r="DD18" s="350"/>
      <c r="DE18" s="350"/>
      <c r="DF18" s="350"/>
      <c r="DG18" s="350"/>
      <c r="DH18" s="350"/>
      <c r="DI18" s="350"/>
      <c r="DJ18" s="350"/>
      <c r="DK18" s="350"/>
      <c r="DL18" s="350"/>
      <c r="DM18" s="350"/>
      <c r="DN18" s="350"/>
      <c r="DO18" s="350"/>
      <c r="DP18" s="350"/>
      <c r="DQ18" s="350"/>
      <c r="DR18" s="350"/>
      <c r="DS18" s="350"/>
      <c r="DT18" s="350"/>
      <c r="DU18" s="350"/>
      <c r="DV18" s="350"/>
      <c r="DW18" s="350"/>
      <c r="DX18" s="350"/>
      <c r="DY18" s="350"/>
      <c r="DZ18" s="350"/>
      <c r="EA18" s="350"/>
      <c r="EB18" s="350"/>
      <c r="EC18" s="350"/>
      <c r="ED18" s="350"/>
      <c r="EE18" s="350"/>
      <c r="EF18" s="350"/>
      <c r="EG18" s="350"/>
      <c r="EH18" s="350"/>
      <c r="EI18" s="350"/>
      <c r="EJ18" s="350"/>
      <c r="EK18" s="350"/>
      <c r="EL18" s="350"/>
      <c r="EM18" s="350"/>
      <c r="EN18" s="350"/>
      <c r="EO18" s="350"/>
      <c r="EP18" s="350"/>
      <c r="EQ18" s="350"/>
      <c r="ER18" s="350"/>
      <c r="ES18" s="350"/>
      <c r="ET18" s="350"/>
      <c r="EU18" s="350"/>
      <c r="EV18" s="350"/>
      <c r="EW18" s="350"/>
      <c r="EX18" s="350"/>
      <c r="EY18" s="350"/>
      <c r="EZ18" s="350"/>
      <c r="FA18" s="350"/>
      <c r="FB18" s="350"/>
      <c r="FC18" s="350"/>
      <c r="FD18" s="350"/>
      <c r="FE18" s="350"/>
      <c r="FF18" s="350"/>
      <c r="FG18" s="350"/>
      <c r="FH18" s="350"/>
      <c r="FI18" s="350"/>
      <c r="FJ18" s="350"/>
      <c r="FK18" s="350"/>
      <c r="FL18" s="350"/>
      <c r="FM18" s="350"/>
      <c r="FN18" s="350"/>
      <c r="FO18" s="350"/>
      <c r="FP18" s="350"/>
      <c r="FQ18" s="350"/>
      <c r="FR18" s="350"/>
      <c r="FS18" s="350"/>
      <c r="FT18" s="350"/>
      <c r="FU18" s="350"/>
      <c r="FV18" s="350"/>
      <c r="FW18" s="350"/>
      <c r="FX18" s="350"/>
      <c r="FY18" s="350"/>
      <c r="FZ18" s="350"/>
      <c r="GA18" s="350"/>
      <c r="GB18" s="350"/>
      <c r="GC18" s="350"/>
      <c r="GD18" s="350"/>
      <c r="GE18" s="350"/>
      <c r="GF18" s="350"/>
      <c r="GG18" s="350"/>
      <c r="GH18" s="350"/>
      <c r="GI18" s="350"/>
      <c r="GJ18" s="350"/>
      <c r="GK18" s="350"/>
      <c r="GL18" s="350"/>
      <c r="GM18" s="350"/>
      <c r="GN18" s="350"/>
      <c r="GO18" s="350"/>
      <c r="GP18" s="350"/>
      <c r="GQ18" s="350"/>
      <c r="GR18" s="350"/>
      <c r="GS18" s="350"/>
      <c r="GT18" s="350"/>
      <c r="GU18" s="350"/>
      <c r="GV18" s="350"/>
      <c r="GW18" s="350"/>
      <c r="GX18" s="350"/>
      <c r="GY18" s="350"/>
      <c r="GZ18" s="350"/>
      <c r="HA18" s="350"/>
      <c r="HB18" s="350"/>
      <c r="HC18" s="350"/>
      <c r="HD18" s="350"/>
      <c r="HE18" s="350"/>
      <c r="HF18" s="350"/>
      <c r="HG18" s="350"/>
      <c r="HH18" s="350"/>
      <c r="HI18" s="350"/>
      <c r="HJ18" s="350"/>
      <c r="HK18" s="350"/>
      <c r="HL18" s="350"/>
      <c r="HM18" s="350"/>
      <c r="HN18" s="350"/>
      <c r="HO18" s="350"/>
      <c r="HP18" s="350"/>
      <c r="HQ18" s="350"/>
      <c r="HR18" s="350"/>
      <c r="HS18" s="350"/>
      <c r="HT18" s="350"/>
      <c r="HU18" s="350"/>
    </row>
    <row r="19" spans="1:229" ht="17.5" x14ac:dyDescent="0.45">
      <c r="A19" s="269" t="s">
        <v>54</v>
      </c>
      <c r="B19" s="242">
        <v>14848</v>
      </c>
      <c r="C19" s="242">
        <v>4324</v>
      </c>
      <c r="D19" s="242">
        <v>5172</v>
      </c>
      <c r="E19" s="242">
        <v>24344</v>
      </c>
      <c r="F19" s="242">
        <v>6987</v>
      </c>
      <c r="G19" s="242">
        <v>562</v>
      </c>
      <c r="H19" s="242">
        <v>994</v>
      </c>
      <c r="I19" s="242">
        <v>1673</v>
      </c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350"/>
      <c r="AC19" s="350"/>
      <c r="AD19" s="350"/>
      <c r="AE19" s="350"/>
      <c r="AF19" s="350"/>
      <c r="AG19" s="350"/>
      <c r="AH19" s="350"/>
      <c r="AI19" s="350"/>
      <c r="AJ19" s="350"/>
      <c r="AK19" s="350"/>
      <c r="AL19" s="350"/>
      <c r="AM19" s="350"/>
      <c r="AN19" s="350"/>
      <c r="AO19" s="350"/>
      <c r="AP19" s="350"/>
      <c r="AQ19" s="350"/>
      <c r="AR19" s="350"/>
      <c r="AS19" s="350"/>
      <c r="AT19" s="350"/>
      <c r="AU19" s="350"/>
      <c r="AV19" s="350"/>
      <c r="AW19" s="350"/>
      <c r="AX19" s="350"/>
      <c r="AY19" s="350"/>
      <c r="AZ19" s="350"/>
      <c r="BA19" s="350"/>
      <c r="BB19" s="350"/>
      <c r="BC19" s="350"/>
      <c r="BD19" s="350"/>
      <c r="BE19" s="350"/>
      <c r="BF19" s="350"/>
      <c r="BG19" s="350"/>
      <c r="BH19" s="350"/>
      <c r="BI19" s="350"/>
      <c r="BJ19" s="350"/>
      <c r="BK19" s="350"/>
      <c r="BL19" s="350"/>
      <c r="BM19" s="350"/>
      <c r="BN19" s="350"/>
      <c r="BO19" s="350"/>
      <c r="BP19" s="350"/>
      <c r="BQ19" s="350"/>
      <c r="BR19" s="350"/>
      <c r="BS19" s="350"/>
      <c r="BT19" s="350"/>
      <c r="BU19" s="350"/>
      <c r="BV19" s="350"/>
      <c r="BW19" s="350"/>
      <c r="BX19" s="350"/>
      <c r="BY19" s="350"/>
      <c r="BZ19" s="350"/>
      <c r="CA19" s="350"/>
      <c r="CB19" s="350"/>
      <c r="CC19" s="350"/>
      <c r="CD19" s="350"/>
      <c r="CE19" s="350"/>
      <c r="CF19" s="350"/>
      <c r="CG19" s="350"/>
      <c r="CH19" s="350"/>
      <c r="CI19" s="350"/>
      <c r="CJ19" s="350"/>
      <c r="CK19" s="350"/>
      <c r="CL19" s="350"/>
      <c r="CM19" s="350"/>
      <c r="CN19" s="350"/>
      <c r="CO19" s="350"/>
      <c r="CP19" s="350"/>
      <c r="CQ19" s="350"/>
      <c r="CR19" s="350"/>
      <c r="CS19" s="350"/>
      <c r="CT19" s="350"/>
      <c r="CU19" s="350"/>
      <c r="CV19" s="350"/>
      <c r="CW19" s="350"/>
      <c r="CX19" s="350"/>
      <c r="CY19" s="350"/>
      <c r="CZ19" s="350"/>
      <c r="DA19" s="350"/>
      <c r="DB19" s="350"/>
      <c r="DC19" s="350"/>
      <c r="DD19" s="350"/>
      <c r="DE19" s="350"/>
      <c r="DF19" s="350"/>
      <c r="DG19" s="350"/>
      <c r="DH19" s="350"/>
      <c r="DI19" s="350"/>
      <c r="DJ19" s="350"/>
      <c r="DK19" s="350"/>
      <c r="DL19" s="350"/>
      <c r="DM19" s="350"/>
      <c r="DN19" s="350"/>
      <c r="DO19" s="350"/>
      <c r="DP19" s="350"/>
      <c r="DQ19" s="350"/>
      <c r="DR19" s="350"/>
      <c r="DS19" s="350"/>
      <c r="DT19" s="350"/>
      <c r="DU19" s="350"/>
      <c r="DV19" s="350"/>
      <c r="DW19" s="350"/>
      <c r="DX19" s="350"/>
      <c r="DY19" s="350"/>
      <c r="DZ19" s="350"/>
      <c r="EA19" s="350"/>
      <c r="EB19" s="350"/>
      <c r="EC19" s="350"/>
      <c r="ED19" s="350"/>
      <c r="EE19" s="350"/>
      <c r="EF19" s="350"/>
      <c r="EG19" s="350"/>
      <c r="EH19" s="350"/>
      <c r="EI19" s="350"/>
      <c r="EJ19" s="350"/>
      <c r="EK19" s="350"/>
      <c r="EL19" s="350"/>
      <c r="EM19" s="350"/>
      <c r="EN19" s="350"/>
      <c r="EO19" s="350"/>
      <c r="EP19" s="350"/>
      <c r="EQ19" s="350"/>
      <c r="ER19" s="350"/>
      <c r="ES19" s="350"/>
      <c r="ET19" s="350"/>
      <c r="EU19" s="350"/>
      <c r="EV19" s="350"/>
      <c r="EW19" s="350"/>
      <c r="EX19" s="350"/>
      <c r="EY19" s="350"/>
      <c r="EZ19" s="350"/>
      <c r="FA19" s="350"/>
      <c r="FB19" s="350"/>
      <c r="FC19" s="350"/>
      <c r="FD19" s="350"/>
      <c r="FE19" s="350"/>
      <c r="FF19" s="350"/>
      <c r="FG19" s="350"/>
      <c r="FH19" s="350"/>
      <c r="FI19" s="350"/>
      <c r="FJ19" s="350"/>
      <c r="FK19" s="350"/>
      <c r="FL19" s="350"/>
      <c r="FM19" s="350"/>
      <c r="FN19" s="350"/>
      <c r="FO19" s="350"/>
      <c r="FP19" s="350"/>
      <c r="FQ19" s="350"/>
      <c r="FR19" s="350"/>
      <c r="FS19" s="350"/>
      <c r="FT19" s="350"/>
      <c r="FU19" s="350"/>
      <c r="FV19" s="350"/>
      <c r="FW19" s="350"/>
      <c r="FX19" s="350"/>
      <c r="FY19" s="350"/>
      <c r="FZ19" s="350"/>
      <c r="GA19" s="350"/>
      <c r="GB19" s="350"/>
      <c r="GC19" s="350"/>
      <c r="GD19" s="350"/>
      <c r="GE19" s="350"/>
      <c r="GF19" s="350"/>
      <c r="GG19" s="350"/>
      <c r="GH19" s="350"/>
      <c r="GI19" s="350"/>
      <c r="GJ19" s="350"/>
      <c r="GK19" s="350"/>
      <c r="GL19" s="350"/>
      <c r="GM19" s="350"/>
      <c r="GN19" s="350"/>
      <c r="GO19" s="350"/>
      <c r="GP19" s="350"/>
      <c r="GQ19" s="350"/>
      <c r="GR19" s="350"/>
      <c r="GS19" s="350"/>
      <c r="GT19" s="350"/>
      <c r="GU19" s="350"/>
      <c r="GV19" s="350"/>
      <c r="GW19" s="350"/>
      <c r="GX19" s="350"/>
      <c r="GY19" s="350"/>
      <c r="GZ19" s="350"/>
      <c r="HA19" s="350"/>
      <c r="HB19" s="350"/>
      <c r="HC19" s="350"/>
      <c r="HD19" s="350"/>
      <c r="HE19" s="350"/>
      <c r="HF19" s="350"/>
      <c r="HG19" s="350"/>
      <c r="HH19" s="350"/>
      <c r="HI19" s="350"/>
      <c r="HJ19" s="350"/>
      <c r="HK19" s="350"/>
      <c r="HL19" s="350"/>
      <c r="HM19" s="350"/>
      <c r="HN19" s="350"/>
      <c r="HO19" s="350"/>
      <c r="HP19" s="350"/>
      <c r="HQ19" s="350"/>
      <c r="HR19" s="350"/>
      <c r="HS19" s="350"/>
      <c r="HT19" s="350"/>
      <c r="HU19" s="350"/>
    </row>
    <row r="20" spans="1:229" ht="17.5" x14ac:dyDescent="0.45">
      <c r="A20" s="269" t="s">
        <v>55</v>
      </c>
      <c r="B20" s="242">
        <v>13536</v>
      </c>
      <c r="C20" s="242">
        <v>2628</v>
      </c>
      <c r="D20" s="242">
        <v>3566</v>
      </c>
      <c r="E20" s="242">
        <v>19730</v>
      </c>
      <c r="F20" s="242">
        <v>18829</v>
      </c>
      <c r="G20" s="242">
        <v>1050</v>
      </c>
      <c r="H20" s="242">
        <v>2018</v>
      </c>
      <c r="I20" s="242">
        <v>1421</v>
      </c>
      <c r="J20" s="349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  <c r="Y20" s="349"/>
      <c r="Z20" s="349"/>
      <c r="AA20" s="349"/>
      <c r="AB20" s="350"/>
      <c r="AC20" s="350"/>
      <c r="AD20" s="350"/>
      <c r="AE20" s="350"/>
      <c r="AF20" s="350"/>
      <c r="AG20" s="350"/>
      <c r="AH20" s="350"/>
      <c r="AI20" s="350"/>
      <c r="AJ20" s="350"/>
      <c r="AK20" s="350"/>
      <c r="AL20" s="350"/>
      <c r="AM20" s="350"/>
      <c r="AN20" s="350"/>
      <c r="AO20" s="350"/>
      <c r="AP20" s="350"/>
      <c r="AQ20" s="350"/>
      <c r="AR20" s="350"/>
      <c r="AS20" s="350"/>
      <c r="AT20" s="350"/>
      <c r="AU20" s="350"/>
      <c r="AV20" s="350"/>
      <c r="AW20" s="350"/>
      <c r="AX20" s="350"/>
      <c r="AY20" s="350"/>
      <c r="AZ20" s="350"/>
      <c r="BA20" s="350"/>
      <c r="BB20" s="350"/>
      <c r="BC20" s="350"/>
      <c r="BD20" s="350"/>
      <c r="BE20" s="350"/>
      <c r="BF20" s="350"/>
      <c r="BG20" s="350"/>
      <c r="BH20" s="350"/>
      <c r="BI20" s="350"/>
      <c r="BJ20" s="350"/>
      <c r="BK20" s="350"/>
      <c r="BL20" s="350"/>
      <c r="BM20" s="350"/>
      <c r="BN20" s="350"/>
      <c r="BO20" s="350"/>
      <c r="BP20" s="350"/>
      <c r="BQ20" s="350"/>
      <c r="BR20" s="350"/>
      <c r="BS20" s="350"/>
      <c r="BT20" s="350"/>
      <c r="BU20" s="350"/>
      <c r="BV20" s="350"/>
      <c r="BW20" s="350"/>
      <c r="BX20" s="350"/>
      <c r="BY20" s="350"/>
      <c r="BZ20" s="350"/>
      <c r="CA20" s="350"/>
      <c r="CB20" s="350"/>
      <c r="CC20" s="350"/>
      <c r="CD20" s="350"/>
      <c r="CE20" s="350"/>
      <c r="CF20" s="350"/>
      <c r="CG20" s="350"/>
      <c r="CH20" s="350"/>
      <c r="CI20" s="350"/>
      <c r="CJ20" s="350"/>
      <c r="CK20" s="350"/>
      <c r="CL20" s="350"/>
      <c r="CM20" s="350"/>
      <c r="CN20" s="350"/>
      <c r="CO20" s="350"/>
      <c r="CP20" s="350"/>
      <c r="CQ20" s="350"/>
      <c r="CR20" s="350"/>
      <c r="CS20" s="350"/>
      <c r="CT20" s="350"/>
      <c r="CU20" s="350"/>
      <c r="CV20" s="350"/>
      <c r="CW20" s="350"/>
      <c r="CX20" s="350"/>
      <c r="CY20" s="350"/>
      <c r="CZ20" s="350"/>
      <c r="DA20" s="350"/>
      <c r="DB20" s="350"/>
      <c r="DC20" s="350"/>
      <c r="DD20" s="350"/>
      <c r="DE20" s="350"/>
      <c r="DF20" s="350"/>
      <c r="DG20" s="350"/>
      <c r="DH20" s="350"/>
      <c r="DI20" s="350"/>
      <c r="DJ20" s="350"/>
      <c r="DK20" s="350"/>
      <c r="DL20" s="350"/>
      <c r="DM20" s="350"/>
      <c r="DN20" s="350"/>
      <c r="DO20" s="350"/>
      <c r="DP20" s="350"/>
      <c r="DQ20" s="350"/>
      <c r="DR20" s="350"/>
      <c r="DS20" s="350"/>
      <c r="DT20" s="350"/>
      <c r="DU20" s="350"/>
      <c r="DV20" s="350"/>
      <c r="DW20" s="350"/>
      <c r="DX20" s="350"/>
      <c r="DY20" s="350"/>
      <c r="DZ20" s="350"/>
      <c r="EA20" s="350"/>
      <c r="EB20" s="350"/>
      <c r="EC20" s="350"/>
      <c r="ED20" s="350"/>
      <c r="EE20" s="350"/>
      <c r="EF20" s="350"/>
      <c r="EG20" s="350"/>
      <c r="EH20" s="350"/>
      <c r="EI20" s="350"/>
      <c r="EJ20" s="350"/>
      <c r="EK20" s="350"/>
      <c r="EL20" s="350"/>
      <c r="EM20" s="350"/>
      <c r="EN20" s="350"/>
      <c r="EO20" s="350"/>
      <c r="EP20" s="350"/>
      <c r="EQ20" s="350"/>
      <c r="ER20" s="350"/>
      <c r="ES20" s="350"/>
      <c r="ET20" s="350"/>
      <c r="EU20" s="350"/>
      <c r="EV20" s="350"/>
      <c r="EW20" s="350"/>
      <c r="EX20" s="350"/>
      <c r="EY20" s="350"/>
      <c r="EZ20" s="350"/>
      <c r="FA20" s="350"/>
      <c r="FB20" s="350"/>
      <c r="FC20" s="350"/>
      <c r="FD20" s="350"/>
      <c r="FE20" s="350"/>
      <c r="FF20" s="350"/>
      <c r="FG20" s="350"/>
      <c r="FH20" s="350"/>
      <c r="FI20" s="350"/>
      <c r="FJ20" s="350"/>
      <c r="FK20" s="350"/>
      <c r="FL20" s="350"/>
      <c r="FM20" s="350"/>
      <c r="FN20" s="350"/>
      <c r="FO20" s="350"/>
      <c r="FP20" s="350"/>
      <c r="FQ20" s="350"/>
      <c r="FR20" s="350"/>
      <c r="FS20" s="350"/>
      <c r="FT20" s="350"/>
      <c r="FU20" s="350"/>
      <c r="FV20" s="350"/>
      <c r="FW20" s="350"/>
      <c r="FX20" s="350"/>
      <c r="FY20" s="350"/>
      <c r="FZ20" s="350"/>
      <c r="GA20" s="350"/>
      <c r="GB20" s="350"/>
      <c r="GC20" s="350"/>
      <c r="GD20" s="350"/>
      <c r="GE20" s="350"/>
      <c r="GF20" s="350"/>
      <c r="GG20" s="350"/>
      <c r="GH20" s="350"/>
      <c r="GI20" s="350"/>
      <c r="GJ20" s="350"/>
      <c r="GK20" s="350"/>
      <c r="GL20" s="350"/>
      <c r="GM20" s="350"/>
      <c r="GN20" s="350"/>
      <c r="GO20" s="350"/>
      <c r="GP20" s="350"/>
      <c r="GQ20" s="350"/>
      <c r="GR20" s="350"/>
      <c r="GS20" s="350"/>
      <c r="GT20" s="350"/>
      <c r="GU20" s="350"/>
      <c r="GV20" s="350"/>
      <c r="GW20" s="350"/>
      <c r="GX20" s="350"/>
      <c r="GY20" s="350"/>
      <c r="GZ20" s="350"/>
      <c r="HA20" s="350"/>
      <c r="HB20" s="350"/>
      <c r="HC20" s="350"/>
      <c r="HD20" s="350"/>
      <c r="HE20" s="350"/>
      <c r="HF20" s="350"/>
      <c r="HG20" s="350"/>
      <c r="HH20" s="350"/>
      <c r="HI20" s="350"/>
      <c r="HJ20" s="350"/>
      <c r="HK20" s="350"/>
      <c r="HL20" s="350"/>
      <c r="HM20" s="350"/>
      <c r="HN20" s="350"/>
      <c r="HO20" s="350"/>
      <c r="HP20" s="350"/>
      <c r="HQ20" s="350"/>
      <c r="HR20" s="350"/>
      <c r="HS20" s="350"/>
      <c r="HT20" s="350"/>
      <c r="HU20" s="350"/>
    </row>
    <row r="21" spans="1:229" ht="17.5" x14ac:dyDescent="0.45">
      <c r="A21" s="269" t="s">
        <v>56</v>
      </c>
      <c r="B21" s="242">
        <v>11971</v>
      </c>
      <c r="C21" s="242">
        <v>2107</v>
      </c>
      <c r="D21" s="242">
        <v>4404</v>
      </c>
      <c r="E21" s="242">
        <v>18482</v>
      </c>
      <c r="F21" s="242">
        <v>6918</v>
      </c>
      <c r="G21" s="243">
        <v>0</v>
      </c>
      <c r="H21" s="242">
        <v>29</v>
      </c>
      <c r="I21" s="243">
        <v>0</v>
      </c>
      <c r="J21" s="34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  <c r="AA21" s="349"/>
      <c r="AB21" s="350"/>
      <c r="AC21" s="350"/>
      <c r="AD21" s="350"/>
      <c r="AE21" s="350"/>
      <c r="AF21" s="350"/>
      <c r="AG21" s="350"/>
      <c r="AH21" s="350"/>
      <c r="AI21" s="350"/>
      <c r="AJ21" s="350"/>
      <c r="AK21" s="350"/>
      <c r="AL21" s="350"/>
      <c r="AM21" s="350"/>
      <c r="AN21" s="350"/>
      <c r="AO21" s="350"/>
      <c r="AP21" s="350"/>
      <c r="AQ21" s="350"/>
      <c r="AR21" s="350"/>
      <c r="AS21" s="350"/>
      <c r="AT21" s="350"/>
      <c r="AU21" s="350"/>
      <c r="AV21" s="350"/>
      <c r="AW21" s="350"/>
      <c r="AX21" s="350"/>
      <c r="AY21" s="350"/>
      <c r="AZ21" s="350"/>
      <c r="BA21" s="350"/>
      <c r="BB21" s="350"/>
      <c r="BC21" s="350"/>
      <c r="BD21" s="350"/>
      <c r="BE21" s="350"/>
      <c r="BF21" s="350"/>
      <c r="BG21" s="350"/>
      <c r="BH21" s="350"/>
      <c r="BI21" s="350"/>
      <c r="BJ21" s="350"/>
      <c r="BK21" s="350"/>
      <c r="BL21" s="350"/>
      <c r="BM21" s="350"/>
      <c r="BN21" s="350"/>
      <c r="BO21" s="350"/>
      <c r="BP21" s="350"/>
      <c r="BQ21" s="350"/>
      <c r="BR21" s="350"/>
      <c r="BS21" s="350"/>
      <c r="BT21" s="350"/>
      <c r="BU21" s="350"/>
      <c r="BV21" s="350"/>
      <c r="BW21" s="350"/>
      <c r="BX21" s="350"/>
      <c r="BY21" s="350"/>
      <c r="BZ21" s="350"/>
      <c r="CA21" s="350"/>
      <c r="CB21" s="350"/>
      <c r="CC21" s="350"/>
      <c r="CD21" s="350"/>
      <c r="CE21" s="350"/>
      <c r="CF21" s="350"/>
      <c r="CG21" s="350"/>
      <c r="CH21" s="350"/>
      <c r="CI21" s="350"/>
      <c r="CJ21" s="350"/>
      <c r="CK21" s="350"/>
      <c r="CL21" s="350"/>
      <c r="CM21" s="350"/>
      <c r="CN21" s="350"/>
      <c r="CO21" s="350"/>
      <c r="CP21" s="350"/>
      <c r="CQ21" s="350"/>
      <c r="CR21" s="350"/>
      <c r="CS21" s="350"/>
      <c r="CT21" s="350"/>
      <c r="CU21" s="350"/>
      <c r="CV21" s="350"/>
      <c r="CW21" s="350"/>
      <c r="CX21" s="350"/>
      <c r="CY21" s="350"/>
      <c r="CZ21" s="350"/>
      <c r="DA21" s="350"/>
      <c r="DB21" s="350"/>
      <c r="DC21" s="350"/>
      <c r="DD21" s="350"/>
      <c r="DE21" s="350"/>
      <c r="DF21" s="350"/>
      <c r="DG21" s="350"/>
      <c r="DH21" s="350"/>
      <c r="DI21" s="350"/>
      <c r="DJ21" s="350"/>
      <c r="DK21" s="350"/>
      <c r="DL21" s="350"/>
      <c r="DM21" s="350"/>
      <c r="DN21" s="350"/>
      <c r="DO21" s="350"/>
      <c r="DP21" s="350"/>
      <c r="DQ21" s="350"/>
      <c r="DR21" s="350"/>
      <c r="DS21" s="350"/>
      <c r="DT21" s="350"/>
      <c r="DU21" s="350"/>
      <c r="DV21" s="350"/>
      <c r="DW21" s="350"/>
      <c r="DX21" s="350"/>
      <c r="DY21" s="350"/>
      <c r="DZ21" s="350"/>
      <c r="EA21" s="350"/>
      <c r="EB21" s="350"/>
      <c r="EC21" s="350"/>
      <c r="ED21" s="350"/>
      <c r="EE21" s="350"/>
      <c r="EF21" s="350"/>
      <c r="EG21" s="350"/>
      <c r="EH21" s="350"/>
      <c r="EI21" s="350"/>
      <c r="EJ21" s="350"/>
      <c r="EK21" s="350"/>
      <c r="EL21" s="350"/>
      <c r="EM21" s="350"/>
      <c r="EN21" s="350"/>
      <c r="EO21" s="350"/>
      <c r="EP21" s="350"/>
      <c r="EQ21" s="350"/>
      <c r="ER21" s="350"/>
      <c r="ES21" s="350"/>
      <c r="ET21" s="350"/>
      <c r="EU21" s="350"/>
      <c r="EV21" s="350"/>
      <c r="EW21" s="350"/>
      <c r="EX21" s="350"/>
      <c r="EY21" s="350"/>
      <c r="EZ21" s="350"/>
      <c r="FA21" s="350"/>
      <c r="FB21" s="350"/>
      <c r="FC21" s="350"/>
      <c r="FD21" s="350"/>
      <c r="FE21" s="350"/>
      <c r="FF21" s="350"/>
      <c r="FG21" s="350"/>
      <c r="FH21" s="350"/>
      <c r="FI21" s="350"/>
      <c r="FJ21" s="350"/>
      <c r="FK21" s="350"/>
      <c r="FL21" s="350"/>
      <c r="FM21" s="350"/>
      <c r="FN21" s="350"/>
      <c r="FO21" s="350"/>
      <c r="FP21" s="350"/>
      <c r="FQ21" s="350"/>
      <c r="FR21" s="350"/>
      <c r="FS21" s="350"/>
      <c r="FT21" s="350"/>
      <c r="FU21" s="350"/>
      <c r="FV21" s="350"/>
      <c r="FW21" s="350"/>
      <c r="FX21" s="350"/>
      <c r="FY21" s="350"/>
      <c r="FZ21" s="350"/>
      <c r="GA21" s="350"/>
      <c r="GB21" s="350"/>
      <c r="GC21" s="350"/>
      <c r="GD21" s="350"/>
      <c r="GE21" s="350"/>
      <c r="GF21" s="350"/>
      <c r="GG21" s="350"/>
      <c r="GH21" s="350"/>
      <c r="GI21" s="350"/>
      <c r="GJ21" s="350"/>
      <c r="GK21" s="350"/>
      <c r="GL21" s="350"/>
      <c r="GM21" s="350"/>
      <c r="GN21" s="350"/>
      <c r="GO21" s="350"/>
      <c r="GP21" s="350"/>
      <c r="GQ21" s="350"/>
      <c r="GR21" s="350"/>
      <c r="GS21" s="350"/>
      <c r="GT21" s="350"/>
      <c r="GU21" s="350"/>
      <c r="GV21" s="350"/>
      <c r="GW21" s="350"/>
      <c r="GX21" s="350"/>
      <c r="GY21" s="350"/>
      <c r="GZ21" s="350"/>
      <c r="HA21" s="350"/>
      <c r="HB21" s="350"/>
      <c r="HC21" s="350"/>
      <c r="HD21" s="350"/>
      <c r="HE21" s="350"/>
      <c r="HF21" s="350"/>
      <c r="HG21" s="350"/>
      <c r="HH21" s="350"/>
      <c r="HI21" s="350"/>
      <c r="HJ21" s="350"/>
      <c r="HK21" s="350"/>
      <c r="HL21" s="350"/>
      <c r="HM21" s="350"/>
      <c r="HN21" s="350"/>
      <c r="HO21" s="350"/>
      <c r="HP21" s="350"/>
      <c r="HQ21" s="350"/>
      <c r="HR21" s="350"/>
      <c r="HS21" s="350"/>
      <c r="HT21" s="350"/>
      <c r="HU21" s="350"/>
    </row>
    <row r="22" spans="1:229" ht="17.5" x14ac:dyDescent="0.45">
      <c r="A22" s="272" t="s">
        <v>57</v>
      </c>
      <c r="B22" s="242">
        <v>12227</v>
      </c>
      <c r="C22" s="242">
        <v>2312</v>
      </c>
      <c r="D22" s="242">
        <v>3106</v>
      </c>
      <c r="E22" s="242">
        <v>17645</v>
      </c>
      <c r="F22" s="244">
        <v>9632</v>
      </c>
      <c r="G22" s="245">
        <v>0</v>
      </c>
      <c r="H22" s="245">
        <v>0</v>
      </c>
      <c r="I22" s="245">
        <v>0</v>
      </c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350"/>
      <c r="AC22" s="350"/>
      <c r="AD22" s="350"/>
      <c r="AE22" s="350"/>
      <c r="AF22" s="350"/>
      <c r="AG22" s="350"/>
      <c r="AH22" s="350"/>
      <c r="AI22" s="350"/>
      <c r="AJ22" s="350"/>
      <c r="AK22" s="350"/>
      <c r="AL22" s="350"/>
      <c r="AM22" s="350"/>
      <c r="AN22" s="350"/>
      <c r="AO22" s="350"/>
      <c r="AP22" s="350"/>
      <c r="AQ22" s="350"/>
      <c r="AR22" s="350"/>
      <c r="AS22" s="350"/>
      <c r="AT22" s="350"/>
      <c r="AU22" s="350"/>
      <c r="AV22" s="350"/>
      <c r="AW22" s="350"/>
      <c r="AX22" s="350"/>
      <c r="AY22" s="350"/>
      <c r="AZ22" s="350"/>
      <c r="BA22" s="350"/>
      <c r="BB22" s="350"/>
      <c r="BC22" s="350"/>
      <c r="BD22" s="350"/>
      <c r="BE22" s="350"/>
      <c r="BF22" s="350"/>
      <c r="BG22" s="350"/>
      <c r="BH22" s="350"/>
      <c r="BI22" s="350"/>
      <c r="BJ22" s="350"/>
      <c r="BK22" s="350"/>
      <c r="BL22" s="350"/>
      <c r="BM22" s="350"/>
      <c r="BN22" s="350"/>
      <c r="BO22" s="350"/>
      <c r="BP22" s="350"/>
      <c r="BQ22" s="350"/>
      <c r="BR22" s="350"/>
      <c r="BS22" s="350"/>
      <c r="BT22" s="350"/>
      <c r="BU22" s="350"/>
      <c r="BV22" s="350"/>
      <c r="BW22" s="350"/>
      <c r="BX22" s="350"/>
      <c r="BY22" s="350"/>
      <c r="BZ22" s="350"/>
      <c r="CA22" s="350"/>
      <c r="CB22" s="350"/>
      <c r="CC22" s="350"/>
      <c r="CD22" s="350"/>
      <c r="CE22" s="350"/>
      <c r="CF22" s="350"/>
      <c r="CG22" s="350"/>
      <c r="CH22" s="350"/>
      <c r="CI22" s="350"/>
      <c r="CJ22" s="350"/>
      <c r="CK22" s="350"/>
      <c r="CL22" s="350"/>
      <c r="CM22" s="350"/>
      <c r="CN22" s="350"/>
      <c r="CO22" s="350"/>
      <c r="CP22" s="350"/>
      <c r="CQ22" s="350"/>
      <c r="CR22" s="350"/>
      <c r="CS22" s="350"/>
      <c r="CT22" s="350"/>
      <c r="CU22" s="350"/>
      <c r="CV22" s="350"/>
      <c r="CW22" s="350"/>
      <c r="CX22" s="350"/>
      <c r="CY22" s="350"/>
      <c r="CZ22" s="350"/>
      <c r="DA22" s="350"/>
      <c r="DB22" s="350"/>
      <c r="DC22" s="350"/>
      <c r="DD22" s="350"/>
      <c r="DE22" s="350"/>
      <c r="DF22" s="350"/>
      <c r="DG22" s="350"/>
      <c r="DH22" s="350"/>
      <c r="DI22" s="350"/>
      <c r="DJ22" s="350"/>
      <c r="DK22" s="350"/>
      <c r="DL22" s="350"/>
      <c r="DM22" s="350"/>
      <c r="DN22" s="350"/>
      <c r="DO22" s="350"/>
      <c r="DP22" s="350"/>
      <c r="DQ22" s="350"/>
      <c r="DR22" s="350"/>
      <c r="DS22" s="350"/>
      <c r="DT22" s="350"/>
      <c r="DU22" s="350"/>
      <c r="DV22" s="350"/>
      <c r="DW22" s="350"/>
      <c r="DX22" s="350"/>
      <c r="DY22" s="350"/>
      <c r="DZ22" s="350"/>
      <c r="EA22" s="350"/>
      <c r="EB22" s="350"/>
      <c r="EC22" s="350"/>
      <c r="ED22" s="350"/>
      <c r="EE22" s="350"/>
      <c r="EF22" s="350"/>
      <c r="EG22" s="350"/>
      <c r="EH22" s="350"/>
      <c r="EI22" s="350"/>
      <c r="EJ22" s="350"/>
      <c r="EK22" s="350"/>
      <c r="EL22" s="350"/>
      <c r="EM22" s="350"/>
      <c r="EN22" s="350"/>
      <c r="EO22" s="350"/>
      <c r="EP22" s="350"/>
      <c r="EQ22" s="350"/>
      <c r="ER22" s="350"/>
      <c r="ES22" s="350"/>
      <c r="ET22" s="350"/>
      <c r="EU22" s="350"/>
      <c r="EV22" s="350"/>
      <c r="EW22" s="350"/>
      <c r="EX22" s="350"/>
      <c r="EY22" s="350"/>
      <c r="EZ22" s="350"/>
      <c r="FA22" s="350"/>
      <c r="FB22" s="350"/>
      <c r="FC22" s="350"/>
      <c r="FD22" s="350"/>
      <c r="FE22" s="350"/>
      <c r="FF22" s="350"/>
      <c r="FG22" s="350"/>
      <c r="FH22" s="350"/>
      <c r="FI22" s="350"/>
      <c r="FJ22" s="350"/>
      <c r="FK22" s="350"/>
      <c r="FL22" s="350"/>
      <c r="FM22" s="350"/>
      <c r="FN22" s="350"/>
      <c r="FO22" s="350"/>
      <c r="FP22" s="350"/>
      <c r="FQ22" s="350"/>
      <c r="FR22" s="350"/>
      <c r="FS22" s="350"/>
      <c r="FT22" s="350"/>
      <c r="FU22" s="350"/>
      <c r="FV22" s="350"/>
      <c r="FW22" s="350"/>
      <c r="FX22" s="350"/>
      <c r="FY22" s="350"/>
      <c r="FZ22" s="350"/>
      <c r="GA22" s="350"/>
      <c r="GB22" s="350"/>
      <c r="GC22" s="350"/>
      <c r="GD22" s="350"/>
      <c r="GE22" s="350"/>
      <c r="GF22" s="350"/>
      <c r="GG22" s="350"/>
      <c r="GH22" s="350"/>
      <c r="GI22" s="350"/>
      <c r="GJ22" s="350"/>
      <c r="GK22" s="350"/>
      <c r="GL22" s="350"/>
      <c r="GM22" s="350"/>
      <c r="GN22" s="350"/>
      <c r="GO22" s="350"/>
      <c r="GP22" s="350"/>
      <c r="GQ22" s="350"/>
      <c r="GR22" s="350"/>
      <c r="GS22" s="350"/>
      <c r="GT22" s="350"/>
      <c r="GU22" s="350"/>
      <c r="GV22" s="350"/>
      <c r="GW22" s="350"/>
      <c r="GX22" s="350"/>
      <c r="GY22" s="350"/>
      <c r="GZ22" s="350"/>
      <c r="HA22" s="350"/>
      <c r="HB22" s="350"/>
      <c r="HC22" s="350"/>
      <c r="HD22" s="350"/>
      <c r="HE22" s="350"/>
      <c r="HF22" s="350"/>
      <c r="HG22" s="350"/>
      <c r="HH22" s="350"/>
      <c r="HI22" s="350"/>
      <c r="HJ22" s="350"/>
      <c r="HK22" s="350"/>
      <c r="HL22" s="350"/>
      <c r="HM22" s="350"/>
      <c r="HN22" s="350"/>
      <c r="HO22" s="350"/>
      <c r="HP22" s="350"/>
      <c r="HQ22" s="350"/>
      <c r="HR22" s="350"/>
      <c r="HS22" s="350"/>
      <c r="HT22" s="350"/>
      <c r="HU22" s="350"/>
    </row>
    <row r="23" spans="1:229" ht="17.5" x14ac:dyDescent="0.45">
      <c r="A23" s="272" t="s">
        <v>58</v>
      </c>
      <c r="B23" s="242">
        <v>9261</v>
      </c>
      <c r="C23" s="242">
        <v>2452</v>
      </c>
      <c r="D23" s="242">
        <v>1235</v>
      </c>
      <c r="E23" s="242">
        <v>12948</v>
      </c>
      <c r="F23" s="242">
        <v>9725</v>
      </c>
      <c r="G23" s="243">
        <v>0</v>
      </c>
      <c r="H23" s="243">
        <v>0</v>
      </c>
      <c r="I23" s="243">
        <v>0</v>
      </c>
      <c r="J23" s="34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  <c r="Y23" s="349"/>
      <c r="Z23" s="349"/>
      <c r="AA23" s="349"/>
      <c r="AB23" s="350"/>
      <c r="AC23" s="350"/>
      <c r="AD23" s="350"/>
      <c r="AE23" s="350"/>
      <c r="AF23" s="350"/>
      <c r="AG23" s="350"/>
      <c r="AH23" s="350"/>
      <c r="AI23" s="350"/>
      <c r="AJ23" s="350"/>
      <c r="AK23" s="350"/>
      <c r="AL23" s="350"/>
      <c r="AM23" s="350"/>
      <c r="AN23" s="350"/>
      <c r="AO23" s="350"/>
      <c r="AP23" s="350"/>
      <c r="AQ23" s="350"/>
      <c r="AR23" s="350"/>
      <c r="AS23" s="350"/>
      <c r="AT23" s="350"/>
      <c r="AU23" s="350"/>
      <c r="AV23" s="350"/>
      <c r="AW23" s="350"/>
      <c r="AX23" s="350"/>
      <c r="AY23" s="350"/>
      <c r="AZ23" s="350"/>
      <c r="BA23" s="350"/>
      <c r="BB23" s="350"/>
      <c r="BC23" s="350"/>
      <c r="BD23" s="350"/>
      <c r="BE23" s="350"/>
      <c r="BF23" s="350"/>
      <c r="BG23" s="350"/>
      <c r="BH23" s="350"/>
      <c r="BI23" s="350"/>
      <c r="BJ23" s="350"/>
      <c r="BK23" s="350"/>
      <c r="BL23" s="350"/>
      <c r="BM23" s="350"/>
      <c r="BN23" s="350"/>
      <c r="BO23" s="350"/>
      <c r="BP23" s="350"/>
      <c r="BQ23" s="350"/>
      <c r="BR23" s="350"/>
      <c r="BS23" s="350"/>
      <c r="BT23" s="350"/>
      <c r="BU23" s="350"/>
      <c r="BV23" s="350"/>
      <c r="BW23" s="350"/>
      <c r="BX23" s="350"/>
      <c r="BY23" s="350"/>
      <c r="BZ23" s="350"/>
      <c r="CA23" s="350"/>
      <c r="CB23" s="350"/>
      <c r="CC23" s="350"/>
      <c r="CD23" s="350"/>
      <c r="CE23" s="350"/>
      <c r="CF23" s="350"/>
      <c r="CG23" s="350"/>
      <c r="CH23" s="350"/>
      <c r="CI23" s="350"/>
      <c r="CJ23" s="350"/>
      <c r="CK23" s="350"/>
      <c r="CL23" s="350"/>
      <c r="CM23" s="350"/>
      <c r="CN23" s="350"/>
      <c r="CO23" s="350"/>
      <c r="CP23" s="350"/>
      <c r="CQ23" s="350"/>
      <c r="CR23" s="350"/>
      <c r="CS23" s="350"/>
      <c r="CT23" s="350"/>
      <c r="CU23" s="350"/>
      <c r="CV23" s="350"/>
      <c r="CW23" s="350"/>
      <c r="CX23" s="350"/>
      <c r="CY23" s="350"/>
      <c r="CZ23" s="350"/>
      <c r="DA23" s="350"/>
      <c r="DB23" s="350"/>
      <c r="DC23" s="350"/>
      <c r="DD23" s="350"/>
      <c r="DE23" s="350"/>
      <c r="DF23" s="350"/>
      <c r="DG23" s="350"/>
      <c r="DH23" s="350"/>
      <c r="DI23" s="350"/>
      <c r="DJ23" s="350"/>
      <c r="DK23" s="350"/>
      <c r="DL23" s="350"/>
      <c r="DM23" s="350"/>
      <c r="DN23" s="350"/>
      <c r="DO23" s="350"/>
      <c r="DP23" s="350"/>
      <c r="DQ23" s="350"/>
      <c r="DR23" s="350"/>
      <c r="DS23" s="350"/>
      <c r="DT23" s="350"/>
      <c r="DU23" s="350"/>
      <c r="DV23" s="350"/>
      <c r="DW23" s="350"/>
      <c r="DX23" s="350"/>
      <c r="DY23" s="350"/>
      <c r="DZ23" s="350"/>
      <c r="EA23" s="350"/>
      <c r="EB23" s="350"/>
      <c r="EC23" s="350"/>
      <c r="ED23" s="350"/>
      <c r="EE23" s="350"/>
      <c r="EF23" s="350"/>
      <c r="EG23" s="350"/>
      <c r="EH23" s="350"/>
      <c r="EI23" s="350"/>
      <c r="EJ23" s="350"/>
      <c r="EK23" s="350"/>
      <c r="EL23" s="350"/>
      <c r="EM23" s="350"/>
      <c r="EN23" s="350"/>
      <c r="EO23" s="350"/>
      <c r="EP23" s="350"/>
      <c r="EQ23" s="350"/>
      <c r="ER23" s="350"/>
      <c r="ES23" s="350"/>
      <c r="ET23" s="350"/>
      <c r="EU23" s="350"/>
      <c r="EV23" s="350"/>
      <c r="EW23" s="350"/>
      <c r="EX23" s="350"/>
      <c r="EY23" s="350"/>
      <c r="EZ23" s="350"/>
      <c r="FA23" s="350"/>
      <c r="FB23" s="350"/>
      <c r="FC23" s="350"/>
      <c r="FD23" s="350"/>
      <c r="FE23" s="350"/>
      <c r="FF23" s="350"/>
      <c r="FG23" s="350"/>
      <c r="FH23" s="350"/>
      <c r="FI23" s="350"/>
      <c r="FJ23" s="350"/>
      <c r="FK23" s="350"/>
      <c r="FL23" s="350"/>
      <c r="FM23" s="350"/>
      <c r="FN23" s="350"/>
      <c r="FO23" s="350"/>
      <c r="FP23" s="350"/>
      <c r="FQ23" s="350"/>
      <c r="FR23" s="350"/>
      <c r="FS23" s="350"/>
      <c r="FT23" s="350"/>
      <c r="FU23" s="350"/>
      <c r="FV23" s="350"/>
      <c r="FW23" s="350"/>
      <c r="FX23" s="350"/>
      <c r="FY23" s="350"/>
      <c r="FZ23" s="350"/>
      <c r="GA23" s="350"/>
      <c r="GB23" s="350"/>
      <c r="GC23" s="350"/>
      <c r="GD23" s="350"/>
      <c r="GE23" s="350"/>
      <c r="GF23" s="350"/>
      <c r="GG23" s="350"/>
      <c r="GH23" s="350"/>
      <c r="GI23" s="350"/>
      <c r="GJ23" s="350"/>
      <c r="GK23" s="350"/>
      <c r="GL23" s="350"/>
      <c r="GM23" s="350"/>
      <c r="GN23" s="350"/>
      <c r="GO23" s="350"/>
      <c r="GP23" s="350"/>
      <c r="GQ23" s="350"/>
      <c r="GR23" s="350"/>
      <c r="GS23" s="350"/>
      <c r="GT23" s="350"/>
      <c r="GU23" s="350"/>
      <c r="GV23" s="350"/>
      <c r="GW23" s="350"/>
      <c r="GX23" s="350"/>
      <c r="GY23" s="350"/>
      <c r="GZ23" s="350"/>
      <c r="HA23" s="350"/>
      <c r="HB23" s="350"/>
      <c r="HC23" s="350"/>
      <c r="HD23" s="350"/>
      <c r="HE23" s="350"/>
      <c r="HF23" s="350"/>
      <c r="HG23" s="350"/>
      <c r="HH23" s="350"/>
      <c r="HI23" s="350"/>
      <c r="HJ23" s="350"/>
      <c r="HK23" s="350"/>
      <c r="HL23" s="350"/>
      <c r="HM23" s="350"/>
      <c r="HN23" s="350"/>
      <c r="HO23" s="350"/>
      <c r="HP23" s="350"/>
      <c r="HQ23" s="350"/>
      <c r="HR23" s="350"/>
      <c r="HS23" s="350"/>
      <c r="HT23" s="350"/>
      <c r="HU23" s="350"/>
    </row>
    <row r="24" spans="1:229" ht="17.5" x14ac:dyDescent="0.45">
      <c r="A24" s="269" t="s">
        <v>59</v>
      </c>
      <c r="B24" s="242">
        <v>5741</v>
      </c>
      <c r="C24" s="242">
        <v>1731</v>
      </c>
      <c r="D24" s="242">
        <v>1545</v>
      </c>
      <c r="E24" s="242">
        <v>9017</v>
      </c>
      <c r="F24" s="242">
        <v>8591</v>
      </c>
      <c r="G24" s="242">
        <v>49</v>
      </c>
      <c r="H24" s="243">
        <v>0</v>
      </c>
      <c r="I24" s="242">
        <v>348</v>
      </c>
      <c r="J24" s="349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  <c r="Y24" s="349"/>
      <c r="Z24" s="349"/>
      <c r="AA24" s="349"/>
      <c r="AB24" s="350"/>
      <c r="AC24" s="350"/>
      <c r="AD24" s="350"/>
      <c r="AE24" s="350"/>
      <c r="AF24" s="350"/>
      <c r="AG24" s="350"/>
      <c r="AH24" s="350"/>
      <c r="AI24" s="350"/>
      <c r="AJ24" s="350"/>
      <c r="AK24" s="350"/>
      <c r="AL24" s="350"/>
      <c r="AM24" s="350"/>
      <c r="AN24" s="350"/>
      <c r="AO24" s="350"/>
      <c r="AP24" s="350"/>
      <c r="AQ24" s="350"/>
      <c r="AR24" s="350"/>
      <c r="AS24" s="350"/>
      <c r="AT24" s="350"/>
      <c r="AU24" s="350"/>
      <c r="AV24" s="350"/>
      <c r="AW24" s="350"/>
      <c r="AX24" s="350"/>
      <c r="AY24" s="350"/>
      <c r="AZ24" s="350"/>
      <c r="BA24" s="350"/>
      <c r="BB24" s="350"/>
      <c r="BC24" s="350"/>
      <c r="BD24" s="350"/>
      <c r="BE24" s="350"/>
      <c r="BF24" s="350"/>
      <c r="BG24" s="350"/>
      <c r="BH24" s="350"/>
      <c r="BI24" s="350"/>
      <c r="BJ24" s="350"/>
      <c r="BK24" s="350"/>
      <c r="BL24" s="350"/>
      <c r="BM24" s="350"/>
      <c r="BN24" s="350"/>
      <c r="BO24" s="350"/>
      <c r="BP24" s="350"/>
      <c r="BQ24" s="350"/>
      <c r="BR24" s="350"/>
      <c r="BS24" s="350"/>
      <c r="BT24" s="350"/>
      <c r="BU24" s="350"/>
      <c r="BV24" s="350"/>
      <c r="BW24" s="350"/>
      <c r="BX24" s="350"/>
      <c r="BY24" s="350"/>
      <c r="BZ24" s="350"/>
      <c r="CA24" s="350"/>
      <c r="CB24" s="350"/>
      <c r="CC24" s="350"/>
      <c r="CD24" s="350"/>
      <c r="CE24" s="350"/>
      <c r="CF24" s="350"/>
      <c r="CG24" s="350"/>
      <c r="CH24" s="350"/>
      <c r="CI24" s="350"/>
      <c r="CJ24" s="350"/>
      <c r="CK24" s="350"/>
      <c r="CL24" s="350"/>
      <c r="CM24" s="350"/>
      <c r="CN24" s="350"/>
      <c r="CO24" s="350"/>
      <c r="CP24" s="350"/>
      <c r="CQ24" s="350"/>
      <c r="CR24" s="350"/>
      <c r="CS24" s="350"/>
      <c r="CT24" s="350"/>
      <c r="CU24" s="350"/>
      <c r="CV24" s="350"/>
      <c r="CW24" s="350"/>
      <c r="CX24" s="350"/>
      <c r="CY24" s="350"/>
      <c r="CZ24" s="350"/>
      <c r="DA24" s="350"/>
      <c r="DB24" s="350"/>
      <c r="DC24" s="350"/>
      <c r="DD24" s="350"/>
      <c r="DE24" s="350"/>
      <c r="DF24" s="350"/>
      <c r="DG24" s="350"/>
      <c r="DH24" s="350"/>
      <c r="DI24" s="350"/>
      <c r="DJ24" s="350"/>
      <c r="DK24" s="350"/>
      <c r="DL24" s="350"/>
      <c r="DM24" s="350"/>
      <c r="DN24" s="350"/>
      <c r="DO24" s="350"/>
      <c r="DP24" s="350"/>
      <c r="DQ24" s="350"/>
      <c r="DR24" s="350"/>
      <c r="DS24" s="350"/>
      <c r="DT24" s="350"/>
      <c r="DU24" s="350"/>
      <c r="DV24" s="350"/>
      <c r="DW24" s="350"/>
      <c r="DX24" s="350"/>
      <c r="DY24" s="350"/>
      <c r="DZ24" s="350"/>
      <c r="EA24" s="350"/>
      <c r="EB24" s="350"/>
      <c r="EC24" s="350"/>
      <c r="ED24" s="350"/>
      <c r="EE24" s="350"/>
      <c r="EF24" s="350"/>
      <c r="EG24" s="350"/>
      <c r="EH24" s="350"/>
      <c r="EI24" s="350"/>
      <c r="EJ24" s="350"/>
      <c r="EK24" s="350"/>
      <c r="EL24" s="350"/>
      <c r="EM24" s="350"/>
      <c r="EN24" s="350"/>
      <c r="EO24" s="350"/>
      <c r="EP24" s="350"/>
      <c r="EQ24" s="350"/>
      <c r="ER24" s="350"/>
      <c r="ES24" s="350"/>
      <c r="ET24" s="350"/>
      <c r="EU24" s="350"/>
      <c r="EV24" s="350"/>
      <c r="EW24" s="350"/>
      <c r="EX24" s="350"/>
      <c r="EY24" s="350"/>
      <c r="EZ24" s="350"/>
      <c r="FA24" s="350"/>
      <c r="FB24" s="350"/>
      <c r="FC24" s="350"/>
      <c r="FD24" s="350"/>
      <c r="FE24" s="350"/>
      <c r="FF24" s="350"/>
      <c r="FG24" s="350"/>
      <c r="FH24" s="350"/>
      <c r="FI24" s="350"/>
      <c r="FJ24" s="350"/>
      <c r="FK24" s="350"/>
      <c r="FL24" s="350"/>
      <c r="FM24" s="350"/>
      <c r="FN24" s="350"/>
      <c r="FO24" s="350"/>
      <c r="FP24" s="350"/>
      <c r="FQ24" s="350"/>
      <c r="FR24" s="350"/>
      <c r="FS24" s="350"/>
      <c r="FT24" s="350"/>
      <c r="FU24" s="350"/>
      <c r="FV24" s="350"/>
      <c r="FW24" s="350"/>
      <c r="FX24" s="350"/>
      <c r="FY24" s="350"/>
      <c r="FZ24" s="350"/>
      <c r="GA24" s="350"/>
      <c r="GB24" s="350"/>
      <c r="GC24" s="350"/>
      <c r="GD24" s="350"/>
      <c r="GE24" s="350"/>
      <c r="GF24" s="350"/>
      <c r="GG24" s="350"/>
      <c r="GH24" s="350"/>
      <c r="GI24" s="350"/>
      <c r="GJ24" s="350"/>
      <c r="GK24" s="350"/>
      <c r="GL24" s="350"/>
      <c r="GM24" s="350"/>
      <c r="GN24" s="350"/>
      <c r="GO24" s="350"/>
      <c r="GP24" s="350"/>
      <c r="GQ24" s="350"/>
      <c r="GR24" s="350"/>
      <c r="GS24" s="350"/>
      <c r="GT24" s="350"/>
      <c r="GU24" s="350"/>
      <c r="GV24" s="350"/>
      <c r="GW24" s="350"/>
      <c r="GX24" s="350"/>
      <c r="GY24" s="350"/>
      <c r="GZ24" s="350"/>
      <c r="HA24" s="350"/>
      <c r="HB24" s="350"/>
      <c r="HC24" s="350"/>
      <c r="HD24" s="350"/>
      <c r="HE24" s="350"/>
      <c r="HF24" s="350"/>
      <c r="HG24" s="350"/>
      <c r="HH24" s="350"/>
      <c r="HI24" s="350"/>
      <c r="HJ24" s="350"/>
      <c r="HK24" s="350"/>
      <c r="HL24" s="350"/>
      <c r="HM24" s="350"/>
      <c r="HN24" s="350"/>
      <c r="HO24" s="350"/>
      <c r="HP24" s="350"/>
      <c r="HQ24" s="350"/>
      <c r="HR24" s="350"/>
      <c r="HS24" s="350"/>
      <c r="HT24" s="350"/>
      <c r="HU24" s="350"/>
    </row>
    <row r="25" spans="1:229" ht="17.5" x14ac:dyDescent="0.45">
      <c r="A25" s="357">
        <v>1999</v>
      </c>
      <c r="B25" s="242">
        <v>10484</v>
      </c>
      <c r="C25" s="242">
        <v>3690</v>
      </c>
      <c r="D25" s="242">
        <v>3518</v>
      </c>
      <c r="E25" s="242">
        <v>17692</v>
      </c>
      <c r="F25" s="242">
        <v>9764</v>
      </c>
      <c r="G25" s="242">
        <v>-49</v>
      </c>
      <c r="H25" s="243">
        <v>0</v>
      </c>
      <c r="I25" s="242">
        <v>-348</v>
      </c>
      <c r="J25" s="349"/>
      <c r="K25" s="349"/>
      <c r="L25" s="349"/>
      <c r="M25" s="349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  <c r="Y25" s="349"/>
      <c r="Z25" s="349"/>
      <c r="AA25" s="349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  <c r="BI25" s="350"/>
      <c r="BJ25" s="350"/>
      <c r="BK25" s="350"/>
      <c r="BL25" s="350"/>
      <c r="BM25" s="350"/>
      <c r="BN25" s="350"/>
      <c r="BO25" s="350"/>
      <c r="BP25" s="350"/>
      <c r="BQ25" s="350"/>
      <c r="BR25" s="350"/>
      <c r="BS25" s="350"/>
      <c r="BT25" s="350"/>
      <c r="BU25" s="350"/>
      <c r="BV25" s="350"/>
      <c r="BW25" s="350"/>
      <c r="BX25" s="350"/>
      <c r="BY25" s="350"/>
      <c r="BZ25" s="350"/>
      <c r="CA25" s="350"/>
      <c r="CB25" s="350"/>
      <c r="CC25" s="350"/>
      <c r="CD25" s="350"/>
      <c r="CE25" s="350"/>
      <c r="CF25" s="350"/>
      <c r="CG25" s="350"/>
      <c r="CH25" s="350"/>
      <c r="CI25" s="350"/>
      <c r="CJ25" s="350"/>
      <c r="CK25" s="350"/>
      <c r="CL25" s="350"/>
      <c r="CM25" s="350"/>
      <c r="CN25" s="350"/>
      <c r="CO25" s="350"/>
      <c r="CP25" s="350"/>
      <c r="CQ25" s="350"/>
      <c r="CR25" s="350"/>
      <c r="CS25" s="350"/>
      <c r="CT25" s="350"/>
      <c r="CU25" s="350"/>
      <c r="CV25" s="350"/>
      <c r="CW25" s="350"/>
      <c r="CX25" s="350"/>
      <c r="CY25" s="350"/>
      <c r="CZ25" s="350"/>
      <c r="DA25" s="350"/>
      <c r="DB25" s="350"/>
      <c r="DC25" s="350"/>
      <c r="DD25" s="350"/>
      <c r="DE25" s="350"/>
      <c r="DF25" s="350"/>
      <c r="DG25" s="350"/>
      <c r="DH25" s="350"/>
      <c r="DI25" s="350"/>
      <c r="DJ25" s="350"/>
      <c r="DK25" s="350"/>
      <c r="DL25" s="350"/>
      <c r="DM25" s="350"/>
      <c r="DN25" s="350"/>
      <c r="DO25" s="350"/>
      <c r="DP25" s="350"/>
      <c r="DQ25" s="350"/>
      <c r="DR25" s="350"/>
      <c r="DS25" s="350"/>
      <c r="DT25" s="350"/>
      <c r="DU25" s="350"/>
      <c r="DV25" s="350"/>
      <c r="DW25" s="350"/>
      <c r="DX25" s="350"/>
      <c r="DY25" s="350"/>
      <c r="DZ25" s="350"/>
      <c r="EA25" s="350"/>
      <c r="EB25" s="350"/>
      <c r="EC25" s="350"/>
      <c r="ED25" s="350"/>
      <c r="EE25" s="350"/>
      <c r="EF25" s="350"/>
      <c r="EG25" s="350"/>
      <c r="EH25" s="350"/>
      <c r="EI25" s="350"/>
      <c r="EJ25" s="350"/>
      <c r="EK25" s="350"/>
      <c r="EL25" s="350"/>
      <c r="EM25" s="350"/>
      <c r="EN25" s="350"/>
      <c r="EO25" s="350"/>
      <c r="EP25" s="350"/>
      <c r="EQ25" s="350"/>
      <c r="ER25" s="350"/>
      <c r="ES25" s="350"/>
      <c r="ET25" s="350"/>
      <c r="EU25" s="350"/>
      <c r="EV25" s="350"/>
      <c r="EW25" s="350"/>
      <c r="EX25" s="350"/>
      <c r="EY25" s="350"/>
      <c r="EZ25" s="350"/>
      <c r="FA25" s="350"/>
      <c r="FB25" s="350"/>
      <c r="FC25" s="350"/>
      <c r="FD25" s="350"/>
      <c r="FE25" s="350"/>
      <c r="FF25" s="350"/>
      <c r="FG25" s="350"/>
      <c r="FH25" s="350"/>
      <c r="FI25" s="350"/>
      <c r="FJ25" s="350"/>
      <c r="FK25" s="350"/>
      <c r="FL25" s="350"/>
      <c r="FM25" s="350"/>
      <c r="FN25" s="350"/>
      <c r="FO25" s="350"/>
      <c r="FP25" s="350"/>
      <c r="FQ25" s="350"/>
      <c r="FR25" s="350"/>
      <c r="FS25" s="350"/>
      <c r="FT25" s="350"/>
      <c r="FU25" s="350"/>
      <c r="FV25" s="350"/>
      <c r="FW25" s="350"/>
      <c r="FX25" s="350"/>
      <c r="FY25" s="350"/>
      <c r="FZ25" s="350"/>
      <c r="GA25" s="350"/>
      <c r="GB25" s="350"/>
      <c r="GC25" s="350"/>
      <c r="GD25" s="350"/>
      <c r="GE25" s="350"/>
      <c r="GF25" s="350"/>
      <c r="GG25" s="350"/>
      <c r="GH25" s="350"/>
      <c r="GI25" s="350"/>
      <c r="GJ25" s="350"/>
      <c r="GK25" s="350"/>
      <c r="GL25" s="350"/>
      <c r="GM25" s="350"/>
      <c r="GN25" s="350"/>
      <c r="GO25" s="350"/>
      <c r="GP25" s="350"/>
      <c r="GQ25" s="350"/>
      <c r="GR25" s="350"/>
      <c r="GS25" s="350"/>
      <c r="GT25" s="350"/>
      <c r="GU25" s="350"/>
      <c r="GV25" s="350"/>
      <c r="GW25" s="350"/>
      <c r="GX25" s="350"/>
      <c r="GY25" s="350"/>
      <c r="GZ25" s="350"/>
      <c r="HA25" s="350"/>
      <c r="HB25" s="350"/>
      <c r="HC25" s="350"/>
      <c r="HD25" s="350"/>
      <c r="HE25" s="350"/>
      <c r="HF25" s="350"/>
      <c r="HG25" s="350"/>
      <c r="HH25" s="350"/>
      <c r="HI25" s="350"/>
      <c r="HJ25" s="350"/>
      <c r="HK25" s="350"/>
      <c r="HL25" s="350"/>
      <c r="HM25" s="350"/>
      <c r="HN25" s="350"/>
      <c r="HO25" s="350"/>
      <c r="HP25" s="350"/>
      <c r="HQ25" s="350"/>
      <c r="HR25" s="350"/>
      <c r="HS25" s="350"/>
      <c r="HT25" s="350"/>
      <c r="HU25" s="350"/>
    </row>
    <row r="26" spans="1:229" ht="17.5" x14ac:dyDescent="0.45">
      <c r="A26" s="269" t="s">
        <v>60</v>
      </c>
      <c r="B26" s="242">
        <v>12019</v>
      </c>
      <c r="C26" s="242">
        <v>3500</v>
      </c>
      <c r="D26" s="242">
        <v>3813</v>
      </c>
      <c r="E26" s="242">
        <v>19332</v>
      </c>
      <c r="F26" s="242">
        <v>9757</v>
      </c>
      <c r="G26" s="242">
        <v>2100</v>
      </c>
      <c r="H26" s="243">
        <v>0</v>
      </c>
      <c r="I26" s="242">
        <v>0</v>
      </c>
      <c r="J26" s="349"/>
      <c r="K26" s="349"/>
      <c r="L26" s="349"/>
      <c r="M26" s="349"/>
      <c r="N26" s="349"/>
      <c r="O26" s="349"/>
      <c r="P26" s="349"/>
      <c r="Q26" s="349"/>
      <c r="R26" s="349"/>
      <c r="S26" s="349"/>
      <c r="T26" s="349"/>
      <c r="U26" s="349"/>
      <c r="V26" s="349"/>
      <c r="W26" s="349"/>
      <c r="X26" s="349"/>
      <c r="Y26" s="349"/>
      <c r="Z26" s="349"/>
      <c r="AA26" s="349"/>
      <c r="AB26" s="350"/>
      <c r="AC26" s="350"/>
      <c r="AD26" s="350"/>
      <c r="AE26" s="350"/>
      <c r="AF26" s="350"/>
      <c r="AG26" s="350"/>
      <c r="AH26" s="350"/>
      <c r="AI26" s="350"/>
      <c r="AJ26" s="350"/>
      <c r="AK26" s="350"/>
      <c r="AL26" s="350"/>
      <c r="AM26" s="350"/>
      <c r="AN26" s="350"/>
      <c r="AO26" s="350"/>
      <c r="AP26" s="350"/>
      <c r="AQ26" s="350"/>
      <c r="AR26" s="350"/>
      <c r="AS26" s="350"/>
      <c r="AT26" s="350"/>
      <c r="AU26" s="350"/>
      <c r="AV26" s="350"/>
      <c r="AW26" s="350"/>
      <c r="AX26" s="350"/>
      <c r="AY26" s="350"/>
      <c r="AZ26" s="350"/>
      <c r="BA26" s="350"/>
      <c r="BB26" s="350"/>
      <c r="BC26" s="350"/>
      <c r="BD26" s="350"/>
      <c r="BE26" s="350"/>
      <c r="BF26" s="350"/>
      <c r="BG26" s="350"/>
      <c r="BH26" s="350"/>
      <c r="BI26" s="350"/>
      <c r="BJ26" s="350"/>
      <c r="BK26" s="350"/>
      <c r="BL26" s="350"/>
      <c r="BM26" s="350"/>
      <c r="BN26" s="350"/>
      <c r="BO26" s="350"/>
      <c r="BP26" s="350"/>
      <c r="BQ26" s="350"/>
      <c r="BR26" s="350"/>
      <c r="BS26" s="350"/>
      <c r="BT26" s="350"/>
      <c r="BU26" s="350"/>
      <c r="BV26" s="350"/>
      <c r="BW26" s="350"/>
      <c r="BX26" s="350"/>
      <c r="BY26" s="350"/>
      <c r="BZ26" s="350"/>
      <c r="CA26" s="350"/>
      <c r="CB26" s="350"/>
      <c r="CC26" s="350"/>
      <c r="CD26" s="350"/>
      <c r="CE26" s="350"/>
      <c r="CF26" s="350"/>
      <c r="CG26" s="350"/>
      <c r="CH26" s="350"/>
      <c r="CI26" s="350"/>
      <c r="CJ26" s="350"/>
      <c r="CK26" s="350"/>
      <c r="CL26" s="350"/>
      <c r="CM26" s="350"/>
      <c r="CN26" s="350"/>
      <c r="CO26" s="350"/>
      <c r="CP26" s="350"/>
      <c r="CQ26" s="350"/>
      <c r="CR26" s="350"/>
      <c r="CS26" s="350"/>
      <c r="CT26" s="350"/>
      <c r="CU26" s="350"/>
      <c r="CV26" s="350"/>
      <c r="CW26" s="350"/>
      <c r="CX26" s="350"/>
      <c r="CY26" s="350"/>
      <c r="CZ26" s="350"/>
      <c r="DA26" s="350"/>
      <c r="DB26" s="350"/>
      <c r="DC26" s="350"/>
      <c r="DD26" s="350"/>
      <c r="DE26" s="350"/>
      <c r="DF26" s="350"/>
      <c r="DG26" s="350"/>
      <c r="DH26" s="350"/>
      <c r="DI26" s="350"/>
      <c r="DJ26" s="350"/>
      <c r="DK26" s="350"/>
      <c r="DL26" s="350"/>
      <c r="DM26" s="350"/>
      <c r="DN26" s="350"/>
      <c r="DO26" s="350"/>
      <c r="DP26" s="350"/>
      <c r="DQ26" s="350"/>
      <c r="DR26" s="350"/>
      <c r="DS26" s="350"/>
      <c r="DT26" s="350"/>
      <c r="DU26" s="350"/>
      <c r="DV26" s="350"/>
      <c r="DW26" s="350"/>
      <c r="DX26" s="350"/>
      <c r="DY26" s="350"/>
      <c r="DZ26" s="350"/>
      <c r="EA26" s="350"/>
      <c r="EB26" s="350"/>
      <c r="EC26" s="350"/>
      <c r="ED26" s="350"/>
      <c r="EE26" s="350"/>
      <c r="EF26" s="350"/>
      <c r="EG26" s="350"/>
      <c r="EH26" s="350"/>
      <c r="EI26" s="350"/>
      <c r="EJ26" s="350"/>
      <c r="EK26" s="350"/>
      <c r="EL26" s="350"/>
      <c r="EM26" s="350"/>
      <c r="EN26" s="350"/>
      <c r="EO26" s="350"/>
      <c r="EP26" s="350"/>
      <c r="EQ26" s="350"/>
      <c r="ER26" s="350"/>
      <c r="ES26" s="350"/>
      <c r="ET26" s="350"/>
      <c r="EU26" s="350"/>
      <c r="EV26" s="350"/>
      <c r="EW26" s="350"/>
      <c r="EX26" s="350"/>
      <c r="EY26" s="350"/>
      <c r="EZ26" s="350"/>
      <c r="FA26" s="350"/>
      <c r="FB26" s="350"/>
      <c r="FC26" s="350"/>
      <c r="FD26" s="350"/>
      <c r="FE26" s="350"/>
      <c r="FF26" s="350"/>
      <c r="FG26" s="350"/>
      <c r="FH26" s="350"/>
      <c r="FI26" s="350"/>
      <c r="FJ26" s="350"/>
      <c r="FK26" s="350"/>
      <c r="FL26" s="350"/>
      <c r="FM26" s="350"/>
      <c r="FN26" s="350"/>
      <c r="FO26" s="350"/>
      <c r="FP26" s="350"/>
      <c r="FQ26" s="350"/>
      <c r="FR26" s="350"/>
      <c r="FS26" s="350"/>
      <c r="FT26" s="350"/>
      <c r="FU26" s="350"/>
      <c r="FV26" s="350"/>
      <c r="FW26" s="350"/>
      <c r="FX26" s="350"/>
      <c r="FY26" s="350"/>
      <c r="FZ26" s="350"/>
      <c r="GA26" s="350"/>
      <c r="GB26" s="350"/>
      <c r="GC26" s="350"/>
      <c r="GD26" s="350"/>
      <c r="GE26" s="350"/>
      <c r="GF26" s="350"/>
      <c r="GG26" s="350"/>
      <c r="GH26" s="350"/>
      <c r="GI26" s="350"/>
      <c r="GJ26" s="350"/>
      <c r="GK26" s="350"/>
      <c r="GL26" s="350"/>
      <c r="GM26" s="350"/>
      <c r="GN26" s="350"/>
      <c r="GO26" s="350"/>
      <c r="GP26" s="350"/>
      <c r="GQ26" s="350"/>
      <c r="GR26" s="350"/>
      <c r="GS26" s="350"/>
      <c r="GT26" s="350"/>
      <c r="GU26" s="350"/>
      <c r="GV26" s="350"/>
      <c r="GW26" s="350"/>
      <c r="GX26" s="350"/>
      <c r="GY26" s="350"/>
      <c r="GZ26" s="350"/>
      <c r="HA26" s="350"/>
      <c r="HB26" s="350"/>
      <c r="HC26" s="350"/>
      <c r="HD26" s="350"/>
      <c r="HE26" s="350"/>
      <c r="HF26" s="350"/>
      <c r="HG26" s="350"/>
      <c r="HH26" s="350"/>
      <c r="HI26" s="350"/>
      <c r="HJ26" s="350"/>
      <c r="HK26" s="350"/>
      <c r="HL26" s="350"/>
      <c r="HM26" s="350"/>
      <c r="HN26" s="350"/>
      <c r="HO26" s="350"/>
      <c r="HP26" s="350"/>
      <c r="HQ26" s="350"/>
      <c r="HR26" s="350"/>
      <c r="HS26" s="350"/>
      <c r="HT26" s="350"/>
      <c r="HU26" s="350"/>
    </row>
    <row r="27" spans="1:229" ht="17.5" x14ac:dyDescent="0.45">
      <c r="A27" s="270" t="s">
        <v>61</v>
      </c>
      <c r="B27" s="242">
        <v>11607</v>
      </c>
      <c r="C27" s="242">
        <v>2100</v>
      </c>
      <c r="D27" s="242">
        <v>3397</v>
      </c>
      <c r="E27" s="242">
        <v>17104</v>
      </c>
      <c r="F27" s="242">
        <v>11316</v>
      </c>
      <c r="G27" s="242">
        <v>1350</v>
      </c>
      <c r="H27" s="242">
        <v>2418</v>
      </c>
      <c r="I27" s="242">
        <v>1506</v>
      </c>
      <c r="J27" s="349"/>
      <c r="K27" s="349"/>
      <c r="L27" s="349"/>
      <c r="M27" s="349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  <c r="AA27" s="349"/>
      <c r="AB27" s="350"/>
      <c r="AC27" s="350"/>
      <c r="AD27" s="350"/>
      <c r="AE27" s="350"/>
      <c r="AF27" s="350"/>
      <c r="AG27" s="350"/>
      <c r="AH27" s="350"/>
      <c r="AI27" s="350"/>
      <c r="AJ27" s="350"/>
      <c r="AK27" s="350"/>
      <c r="AL27" s="350"/>
      <c r="AM27" s="350"/>
      <c r="AN27" s="350"/>
      <c r="AO27" s="350"/>
      <c r="AP27" s="350"/>
      <c r="AQ27" s="350"/>
      <c r="AR27" s="350"/>
      <c r="AS27" s="350"/>
      <c r="AT27" s="350"/>
      <c r="AU27" s="350"/>
      <c r="AV27" s="350"/>
      <c r="AW27" s="350"/>
      <c r="AX27" s="350"/>
      <c r="AY27" s="350"/>
      <c r="AZ27" s="350"/>
      <c r="BA27" s="350"/>
      <c r="BB27" s="350"/>
      <c r="BC27" s="350"/>
      <c r="BD27" s="350"/>
      <c r="BE27" s="350"/>
      <c r="BF27" s="350"/>
      <c r="BG27" s="350"/>
      <c r="BH27" s="350"/>
      <c r="BI27" s="350"/>
      <c r="BJ27" s="350"/>
      <c r="BK27" s="350"/>
      <c r="BL27" s="350"/>
      <c r="BM27" s="350"/>
      <c r="BN27" s="350"/>
      <c r="BO27" s="350"/>
      <c r="BP27" s="350"/>
      <c r="BQ27" s="350"/>
      <c r="BR27" s="350"/>
      <c r="BS27" s="350"/>
      <c r="BT27" s="350"/>
      <c r="BU27" s="350"/>
      <c r="BV27" s="350"/>
      <c r="BW27" s="350"/>
      <c r="BX27" s="350"/>
      <c r="BY27" s="350"/>
      <c r="BZ27" s="350"/>
      <c r="CA27" s="350"/>
      <c r="CB27" s="350"/>
      <c r="CC27" s="350"/>
      <c r="CD27" s="350"/>
      <c r="CE27" s="350"/>
      <c r="CF27" s="350"/>
      <c r="CG27" s="350"/>
      <c r="CH27" s="350"/>
      <c r="CI27" s="350"/>
      <c r="CJ27" s="350"/>
      <c r="CK27" s="350"/>
      <c r="CL27" s="350"/>
      <c r="CM27" s="350"/>
      <c r="CN27" s="350"/>
      <c r="CO27" s="350"/>
      <c r="CP27" s="350"/>
      <c r="CQ27" s="350"/>
      <c r="CR27" s="350"/>
      <c r="CS27" s="350"/>
      <c r="CT27" s="350"/>
      <c r="CU27" s="350"/>
      <c r="CV27" s="350"/>
      <c r="CW27" s="350"/>
      <c r="CX27" s="350"/>
      <c r="CY27" s="350"/>
      <c r="CZ27" s="350"/>
      <c r="DA27" s="350"/>
      <c r="DB27" s="350"/>
      <c r="DC27" s="350"/>
      <c r="DD27" s="350"/>
      <c r="DE27" s="350"/>
      <c r="DF27" s="350"/>
      <c r="DG27" s="350"/>
      <c r="DH27" s="350"/>
      <c r="DI27" s="350"/>
      <c r="DJ27" s="350"/>
      <c r="DK27" s="350"/>
      <c r="DL27" s="350"/>
      <c r="DM27" s="350"/>
      <c r="DN27" s="350"/>
      <c r="DO27" s="350"/>
      <c r="DP27" s="350"/>
      <c r="DQ27" s="350"/>
      <c r="DR27" s="350"/>
      <c r="DS27" s="350"/>
      <c r="DT27" s="350"/>
      <c r="DU27" s="350"/>
      <c r="DV27" s="350"/>
      <c r="DW27" s="350"/>
      <c r="DX27" s="350"/>
      <c r="DY27" s="350"/>
      <c r="DZ27" s="350"/>
      <c r="EA27" s="350"/>
      <c r="EB27" s="350"/>
      <c r="EC27" s="350"/>
      <c r="ED27" s="350"/>
      <c r="EE27" s="350"/>
      <c r="EF27" s="350"/>
      <c r="EG27" s="350"/>
      <c r="EH27" s="350"/>
      <c r="EI27" s="350"/>
      <c r="EJ27" s="350"/>
      <c r="EK27" s="350"/>
      <c r="EL27" s="350"/>
      <c r="EM27" s="350"/>
      <c r="EN27" s="350"/>
      <c r="EO27" s="350"/>
      <c r="EP27" s="350"/>
      <c r="EQ27" s="350"/>
      <c r="ER27" s="350"/>
      <c r="ES27" s="350"/>
      <c r="ET27" s="350"/>
      <c r="EU27" s="350"/>
      <c r="EV27" s="350"/>
      <c r="EW27" s="350"/>
      <c r="EX27" s="350"/>
      <c r="EY27" s="350"/>
      <c r="EZ27" s="350"/>
      <c r="FA27" s="350"/>
      <c r="FB27" s="350"/>
      <c r="FC27" s="350"/>
      <c r="FD27" s="350"/>
      <c r="FE27" s="350"/>
      <c r="FF27" s="350"/>
      <c r="FG27" s="350"/>
      <c r="FH27" s="350"/>
      <c r="FI27" s="350"/>
      <c r="FJ27" s="350"/>
      <c r="FK27" s="350"/>
      <c r="FL27" s="350"/>
      <c r="FM27" s="350"/>
      <c r="FN27" s="350"/>
      <c r="FO27" s="350"/>
      <c r="FP27" s="350"/>
      <c r="FQ27" s="350"/>
      <c r="FR27" s="350"/>
      <c r="FS27" s="350"/>
      <c r="FT27" s="350"/>
      <c r="FU27" s="350"/>
      <c r="FV27" s="350"/>
      <c r="FW27" s="350"/>
      <c r="FX27" s="350"/>
      <c r="FY27" s="350"/>
      <c r="FZ27" s="350"/>
      <c r="GA27" s="350"/>
      <c r="GB27" s="350"/>
      <c r="GC27" s="350"/>
      <c r="GD27" s="350"/>
      <c r="GE27" s="350"/>
      <c r="GF27" s="350"/>
      <c r="GG27" s="350"/>
      <c r="GH27" s="350"/>
      <c r="GI27" s="350"/>
      <c r="GJ27" s="350"/>
      <c r="GK27" s="350"/>
      <c r="GL27" s="350"/>
      <c r="GM27" s="350"/>
      <c r="GN27" s="350"/>
      <c r="GO27" s="350"/>
      <c r="GP27" s="350"/>
      <c r="GQ27" s="350"/>
      <c r="GR27" s="350"/>
      <c r="GS27" s="350"/>
      <c r="GT27" s="350"/>
      <c r="GU27" s="350"/>
      <c r="GV27" s="350"/>
      <c r="GW27" s="350"/>
      <c r="GX27" s="350"/>
      <c r="GY27" s="350"/>
      <c r="GZ27" s="350"/>
      <c r="HA27" s="350"/>
      <c r="HB27" s="350"/>
      <c r="HC27" s="350"/>
      <c r="HD27" s="350"/>
      <c r="HE27" s="350"/>
      <c r="HF27" s="350"/>
      <c r="HG27" s="350"/>
      <c r="HH27" s="350"/>
      <c r="HI27" s="350"/>
      <c r="HJ27" s="350"/>
      <c r="HK27" s="350"/>
      <c r="HL27" s="350"/>
      <c r="HM27" s="350"/>
      <c r="HN27" s="350"/>
      <c r="HO27" s="350"/>
      <c r="HP27" s="350"/>
      <c r="HQ27" s="350"/>
      <c r="HR27" s="350"/>
      <c r="HS27" s="350"/>
      <c r="HT27" s="350"/>
      <c r="HU27" s="350"/>
    </row>
    <row r="28" spans="1:229" ht="17.5" x14ac:dyDescent="0.45">
      <c r="A28" s="270" t="s">
        <v>62</v>
      </c>
      <c r="B28" s="242">
        <v>9908</v>
      </c>
      <c r="C28" s="242">
        <v>2441</v>
      </c>
      <c r="D28" s="242">
        <v>4098</v>
      </c>
      <c r="E28" s="242">
        <v>16447</v>
      </c>
      <c r="F28" s="242">
        <v>11354</v>
      </c>
      <c r="G28" s="242">
        <v>87</v>
      </c>
      <c r="H28" s="242">
        <v>4138</v>
      </c>
      <c r="I28" s="242">
        <v>97</v>
      </c>
      <c r="J28" s="349"/>
      <c r="K28" s="349"/>
      <c r="L28" s="349"/>
      <c r="M28" s="349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  <c r="AA28" s="349"/>
      <c r="AB28" s="350"/>
      <c r="AC28" s="350"/>
      <c r="AD28" s="350"/>
      <c r="AE28" s="350"/>
      <c r="AF28" s="350"/>
      <c r="AG28" s="350"/>
      <c r="AH28" s="350"/>
      <c r="AI28" s="350"/>
      <c r="AJ28" s="350"/>
      <c r="AK28" s="350"/>
      <c r="AL28" s="350"/>
      <c r="AM28" s="350"/>
      <c r="AN28" s="350"/>
      <c r="AO28" s="350"/>
      <c r="AP28" s="350"/>
      <c r="AQ28" s="350"/>
      <c r="AR28" s="350"/>
      <c r="AS28" s="350"/>
      <c r="AT28" s="350"/>
      <c r="AU28" s="350"/>
      <c r="AV28" s="350"/>
      <c r="AW28" s="350"/>
      <c r="AX28" s="350"/>
      <c r="AY28" s="350"/>
      <c r="AZ28" s="350"/>
      <c r="BA28" s="350"/>
      <c r="BB28" s="350"/>
      <c r="BC28" s="350"/>
      <c r="BD28" s="350"/>
      <c r="BE28" s="350"/>
      <c r="BF28" s="350"/>
      <c r="BG28" s="350"/>
      <c r="BH28" s="350"/>
      <c r="BI28" s="350"/>
      <c r="BJ28" s="350"/>
      <c r="BK28" s="350"/>
      <c r="BL28" s="350"/>
      <c r="BM28" s="350"/>
      <c r="BN28" s="350"/>
      <c r="BO28" s="350"/>
      <c r="BP28" s="350"/>
      <c r="BQ28" s="350"/>
      <c r="BR28" s="350"/>
      <c r="BS28" s="350"/>
      <c r="BT28" s="350"/>
      <c r="BU28" s="350"/>
      <c r="BV28" s="350"/>
      <c r="BW28" s="350"/>
      <c r="BX28" s="350"/>
      <c r="BY28" s="350"/>
      <c r="BZ28" s="350"/>
      <c r="CA28" s="350"/>
      <c r="CB28" s="350"/>
      <c r="CC28" s="350"/>
      <c r="CD28" s="350"/>
      <c r="CE28" s="350"/>
      <c r="CF28" s="350"/>
      <c r="CG28" s="350"/>
      <c r="CH28" s="350"/>
      <c r="CI28" s="350"/>
      <c r="CJ28" s="350"/>
      <c r="CK28" s="350"/>
      <c r="CL28" s="350"/>
      <c r="CM28" s="350"/>
      <c r="CN28" s="350"/>
      <c r="CO28" s="350"/>
      <c r="CP28" s="350"/>
      <c r="CQ28" s="350"/>
      <c r="CR28" s="350"/>
      <c r="CS28" s="350"/>
      <c r="CT28" s="350"/>
      <c r="CU28" s="350"/>
      <c r="CV28" s="350"/>
      <c r="CW28" s="350"/>
      <c r="CX28" s="350"/>
      <c r="CY28" s="350"/>
      <c r="CZ28" s="350"/>
      <c r="DA28" s="350"/>
      <c r="DB28" s="350"/>
      <c r="DC28" s="350"/>
      <c r="DD28" s="350"/>
      <c r="DE28" s="350"/>
      <c r="DF28" s="350"/>
      <c r="DG28" s="350"/>
      <c r="DH28" s="350"/>
      <c r="DI28" s="350"/>
      <c r="DJ28" s="350"/>
      <c r="DK28" s="350"/>
      <c r="DL28" s="350"/>
      <c r="DM28" s="350"/>
      <c r="DN28" s="350"/>
      <c r="DO28" s="350"/>
      <c r="DP28" s="350"/>
      <c r="DQ28" s="350"/>
      <c r="DR28" s="350"/>
      <c r="DS28" s="350"/>
      <c r="DT28" s="350"/>
      <c r="DU28" s="350"/>
      <c r="DV28" s="350"/>
      <c r="DW28" s="350"/>
      <c r="DX28" s="350"/>
      <c r="DY28" s="350"/>
      <c r="DZ28" s="350"/>
      <c r="EA28" s="350"/>
      <c r="EB28" s="350"/>
      <c r="EC28" s="350"/>
      <c r="ED28" s="350"/>
      <c r="EE28" s="350"/>
      <c r="EF28" s="350"/>
      <c r="EG28" s="350"/>
      <c r="EH28" s="350"/>
      <c r="EI28" s="350"/>
      <c r="EJ28" s="350"/>
      <c r="EK28" s="350"/>
      <c r="EL28" s="350"/>
      <c r="EM28" s="350"/>
      <c r="EN28" s="350"/>
      <c r="EO28" s="350"/>
      <c r="EP28" s="350"/>
      <c r="EQ28" s="350"/>
      <c r="ER28" s="350"/>
      <c r="ES28" s="350"/>
      <c r="ET28" s="350"/>
      <c r="EU28" s="350"/>
      <c r="EV28" s="350"/>
      <c r="EW28" s="350"/>
      <c r="EX28" s="350"/>
      <c r="EY28" s="350"/>
      <c r="EZ28" s="350"/>
      <c r="FA28" s="350"/>
      <c r="FB28" s="350"/>
      <c r="FC28" s="350"/>
      <c r="FD28" s="350"/>
      <c r="FE28" s="350"/>
      <c r="FF28" s="350"/>
      <c r="FG28" s="350"/>
      <c r="FH28" s="350"/>
      <c r="FI28" s="350"/>
      <c r="FJ28" s="350"/>
      <c r="FK28" s="350"/>
      <c r="FL28" s="350"/>
      <c r="FM28" s="350"/>
      <c r="FN28" s="350"/>
      <c r="FO28" s="350"/>
      <c r="FP28" s="350"/>
      <c r="FQ28" s="350"/>
      <c r="FR28" s="350"/>
      <c r="FS28" s="350"/>
      <c r="FT28" s="350"/>
      <c r="FU28" s="350"/>
      <c r="FV28" s="350"/>
      <c r="FW28" s="350"/>
      <c r="FX28" s="350"/>
      <c r="FY28" s="350"/>
      <c r="FZ28" s="350"/>
      <c r="GA28" s="350"/>
      <c r="GB28" s="350"/>
      <c r="GC28" s="350"/>
      <c r="GD28" s="350"/>
      <c r="GE28" s="350"/>
      <c r="GF28" s="350"/>
      <c r="GG28" s="350"/>
      <c r="GH28" s="350"/>
      <c r="GI28" s="350"/>
      <c r="GJ28" s="350"/>
      <c r="GK28" s="350"/>
      <c r="GL28" s="350"/>
      <c r="GM28" s="350"/>
      <c r="GN28" s="350"/>
      <c r="GO28" s="350"/>
      <c r="GP28" s="350"/>
      <c r="GQ28" s="350"/>
      <c r="GR28" s="350"/>
      <c r="GS28" s="350"/>
      <c r="GT28" s="350"/>
      <c r="GU28" s="350"/>
      <c r="GV28" s="350"/>
      <c r="GW28" s="350"/>
      <c r="GX28" s="350"/>
      <c r="GY28" s="350"/>
      <c r="GZ28" s="350"/>
      <c r="HA28" s="350"/>
      <c r="HB28" s="350"/>
      <c r="HC28" s="350"/>
      <c r="HD28" s="350"/>
      <c r="HE28" s="350"/>
      <c r="HF28" s="350"/>
      <c r="HG28" s="350"/>
      <c r="HH28" s="350"/>
      <c r="HI28" s="350"/>
      <c r="HJ28" s="350"/>
      <c r="HK28" s="350"/>
      <c r="HL28" s="350"/>
      <c r="HM28" s="350"/>
      <c r="HN28" s="350"/>
      <c r="HO28" s="350"/>
      <c r="HP28" s="350"/>
      <c r="HQ28" s="350"/>
      <c r="HR28" s="350"/>
      <c r="HS28" s="350"/>
      <c r="HT28" s="350"/>
      <c r="HU28" s="350"/>
    </row>
    <row r="29" spans="1:229" ht="17.5" x14ac:dyDescent="0.45">
      <c r="A29" s="270" t="s">
        <v>63</v>
      </c>
      <c r="B29" s="242">
        <v>9257</v>
      </c>
      <c r="C29" s="242">
        <v>3289</v>
      </c>
      <c r="D29" s="242">
        <v>3488</v>
      </c>
      <c r="E29" s="242">
        <v>16034</v>
      </c>
      <c r="F29" s="242">
        <v>13706</v>
      </c>
      <c r="G29" s="242">
        <v>1946</v>
      </c>
      <c r="H29" s="242">
        <v>-14</v>
      </c>
      <c r="I29" s="242">
        <v>3612</v>
      </c>
      <c r="J29" s="349"/>
      <c r="K29" s="349"/>
      <c r="L29" s="349"/>
      <c r="M29" s="349"/>
      <c r="N29" s="349"/>
      <c r="O29" s="349"/>
      <c r="P29" s="349"/>
      <c r="Q29" s="349"/>
      <c r="R29" s="349"/>
      <c r="S29" s="349"/>
      <c r="T29" s="349"/>
      <c r="U29" s="349"/>
      <c r="V29" s="349"/>
      <c r="W29" s="349"/>
      <c r="X29" s="349"/>
      <c r="Y29" s="349"/>
      <c r="Z29" s="349"/>
      <c r="AA29" s="349"/>
      <c r="AB29" s="350"/>
      <c r="AC29" s="350"/>
      <c r="AD29" s="350"/>
      <c r="AE29" s="350"/>
      <c r="AF29" s="350"/>
      <c r="AG29" s="350"/>
      <c r="AH29" s="350"/>
      <c r="AI29" s="350"/>
      <c r="AJ29" s="350"/>
      <c r="AK29" s="350"/>
      <c r="AL29" s="350"/>
      <c r="AM29" s="350"/>
      <c r="AN29" s="350"/>
      <c r="AO29" s="350"/>
      <c r="AP29" s="350"/>
      <c r="AQ29" s="350"/>
      <c r="AR29" s="350"/>
      <c r="AS29" s="350"/>
      <c r="AT29" s="350"/>
      <c r="AU29" s="350"/>
      <c r="AV29" s="350"/>
      <c r="AW29" s="350"/>
      <c r="AX29" s="350"/>
      <c r="AY29" s="350"/>
      <c r="AZ29" s="350"/>
      <c r="BA29" s="350"/>
      <c r="BB29" s="350"/>
      <c r="BC29" s="350"/>
      <c r="BD29" s="350"/>
      <c r="BE29" s="350"/>
      <c r="BF29" s="350"/>
      <c r="BG29" s="350"/>
      <c r="BH29" s="350"/>
      <c r="BI29" s="350"/>
      <c r="BJ29" s="350"/>
      <c r="BK29" s="350"/>
      <c r="BL29" s="350"/>
      <c r="BM29" s="350"/>
      <c r="BN29" s="350"/>
      <c r="BO29" s="350"/>
      <c r="BP29" s="350"/>
      <c r="BQ29" s="350"/>
      <c r="BR29" s="350"/>
      <c r="BS29" s="350"/>
      <c r="BT29" s="350"/>
      <c r="BU29" s="350"/>
      <c r="BV29" s="350"/>
      <c r="BW29" s="350"/>
      <c r="BX29" s="350"/>
      <c r="BY29" s="350"/>
      <c r="BZ29" s="350"/>
      <c r="CA29" s="350"/>
      <c r="CB29" s="350"/>
      <c r="CC29" s="350"/>
      <c r="CD29" s="350"/>
      <c r="CE29" s="350"/>
      <c r="CF29" s="350"/>
      <c r="CG29" s="350"/>
      <c r="CH29" s="350"/>
      <c r="CI29" s="350"/>
      <c r="CJ29" s="350"/>
      <c r="CK29" s="350"/>
      <c r="CL29" s="350"/>
      <c r="CM29" s="350"/>
      <c r="CN29" s="350"/>
      <c r="CO29" s="350"/>
      <c r="CP29" s="350"/>
      <c r="CQ29" s="350"/>
      <c r="CR29" s="350"/>
      <c r="CS29" s="350"/>
      <c r="CT29" s="350"/>
      <c r="CU29" s="350"/>
      <c r="CV29" s="350"/>
      <c r="CW29" s="350"/>
      <c r="CX29" s="350"/>
      <c r="CY29" s="350"/>
      <c r="CZ29" s="350"/>
      <c r="DA29" s="350"/>
      <c r="DB29" s="350"/>
      <c r="DC29" s="350"/>
      <c r="DD29" s="350"/>
      <c r="DE29" s="350"/>
      <c r="DF29" s="350"/>
      <c r="DG29" s="350"/>
      <c r="DH29" s="350"/>
      <c r="DI29" s="350"/>
      <c r="DJ29" s="350"/>
      <c r="DK29" s="350"/>
      <c r="DL29" s="350"/>
      <c r="DM29" s="350"/>
      <c r="DN29" s="350"/>
      <c r="DO29" s="350"/>
      <c r="DP29" s="350"/>
      <c r="DQ29" s="350"/>
      <c r="DR29" s="350"/>
      <c r="DS29" s="350"/>
      <c r="DT29" s="350"/>
      <c r="DU29" s="350"/>
      <c r="DV29" s="350"/>
      <c r="DW29" s="350"/>
      <c r="DX29" s="350"/>
      <c r="DY29" s="350"/>
      <c r="DZ29" s="350"/>
      <c r="EA29" s="350"/>
      <c r="EB29" s="350"/>
      <c r="EC29" s="350"/>
      <c r="ED29" s="350"/>
      <c r="EE29" s="350"/>
      <c r="EF29" s="350"/>
      <c r="EG29" s="350"/>
      <c r="EH29" s="350"/>
      <c r="EI29" s="350"/>
      <c r="EJ29" s="350"/>
      <c r="EK29" s="350"/>
      <c r="EL29" s="350"/>
      <c r="EM29" s="350"/>
      <c r="EN29" s="350"/>
      <c r="EO29" s="350"/>
      <c r="EP29" s="350"/>
      <c r="EQ29" s="350"/>
      <c r="ER29" s="350"/>
      <c r="ES29" s="350"/>
      <c r="ET29" s="350"/>
      <c r="EU29" s="350"/>
      <c r="EV29" s="350"/>
      <c r="EW29" s="350"/>
      <c r="EX29" s="350"/>
      <c r="EY29" s="350"/>
      <c r="EZ29" s="350"/>
      <c r="FA29" s="350"/>
      <c r="FB29" s="350"/>
      <c r="FC29" s="350"/>
      <c r="FD29" s="350"/>
      <c r="FE29" s="350"/>
      <c r="FF29" s="350"/>
      <c r="FG29" s="350"/>
      <c r="FH29" s="350"/>
      <c r="FI29" s="350"/>
      <c r="FJ29" s="350"/>
      <c r="FK29" s="350"/>
      <c r="FL29" s="350"/>
      <c r="FM29" s="350"/>
      <c r="FN29" s="350"/>
      <c r="FO29" s="350"/>
      <c r="FP29" s="350"/>
      <c r="FQ29" s="350"/>
      <c r="FR29" s="350"/>
      <c r="FS29" s="350"/>
      <c r="FT29" s="350"/>
      <c r="FU29" s="350"/>
      <c r="FV29" s="350"/>
      <c r="FW29" s="350"/>
      <c r="FX29" s="350"/>
      <c r="FY29" s="350"/>
      <c r="FZ29" s="350"/>
      <c r="GA29" s="350"/>
      <c r="GB29" s="350"/>
      <c r="GC29" s="350"/>
      <c r="GD29" s="350"/>
      <c r="GE29" s="350"/>
      <c r="GF29" s="350"/>
      <c r="GG29" s="350"/>
      <c r="GH29" s="350"/>
      <c r="GI29" s="350"/>
      <c r="GJ29" s="350"/>
      <c r="GK29" s="350"/>
      <c r="GL29" s="350"/>
      <c r="GM29" s="350"/>
      <c r="GN29" s="350"/>
      <c r="GO29" s="350"/>
      <c r="GP29" s="350"/>
      <c r="GQ29" s="350"/>
      <c r="GR29" s="350"/>
      <c r="GS29" s="350"/>
      <c r="GT29" s="350"/>
      <c r="GU29" s="350"/>
      <c r="GV29" s="350"/>
      <c r="GW29" s="350"/>
      <c r="GX29" s="350"/>
      <c r="GY29" s="350"/>
      <c r="GZ29" s="350"/>
      <c r="HA29" s="350"/>
      <c r="HB29" s="350"/>
      <c r="HC29" s="350"/>
      <c r="HD29" s="350"/>
      <c r="HE29" s="350"/>
      <c r="HF29" s="350"/>
      <c r="HG29" s="350"/>
      <c r="HH29" s="350"/>
      <c r="HI29" s="350"/>
      <c r="HJ29" s="350"/>
      <c r="HK29" s="350"/>
      <c r="HL29" s="350"/>
      <c r="HM29" s="350"/>
      <c r="HN29" s="350"/>
      <c r="HO29" s="350"/>
      <c r="HP29" s="350"/>
      <c r="HQ29" s="350"/>
      <c r="HR29" s="350"/>
      <c r="HS29" s="350"/>
      <c r="HT29" s="350"/>
      <c r="HU29" s="350"/>
    </row>
    <row r="30" spans="1:229" ht="17.5" x14ac:dyDescent="0.45">
      <c r="A30" s="270" t="s">
        <v>64</v>
      </c>
      <c r="B30" s="242">
        <v>10056</v>
      </c>
      <c r="C30" s="242">
        <v>3649</v>
      </c>
      <c r="D30" s="242">
        <v>3068</v>
      </c>
      <c r="E30" s="242">
        <v>16773</v>
      </c>
      <c r="F30" s="242">
        <v>14476</v>
      </c>
      <c r="G30" s="242">
        <v>1567</v>
      </c>
      <c r="H30" s="242">
        <v>2036</v>
      </c>
      <c r="I30" s="242">
        <v>2633</v>
      </c>
      <c r="J30" s="349"/>
      <c r="K30" s="349"/>
      <c r="L30" s="349"/>
      <c r="M30" s="349"/>
      <c r="N30" s="349"/>
      <c r="O30" s="349"/>
      <c r="P30" s="349"/>
      <c r="Q30" s="349"/>
      <c r="R30" s="349"/>
      <c r="S30" s="349"/>
      <c r="T30" s="349"/>
      <c r="U30" s="349"/>
      <c r="V30" s="349"/>
      <c r="W30" s="349"/>
      <c r="X30" s="349"/>
      <c r="Y30" s="349"/>
      <c r="Z30" s="349"/>
      <c r="AA30" s="349"/>
      <c r="AB30" s="350"/>
      <c r="AC30" s="350"/>
      <c r="AD30" s="350"/>
      <c r="AE30" s="350"/>
      <c r="AF30" s="350"/>
      <c r="AG30" s="350"/>
      <c r="AH30" s="350"/>
      <c r="AI30" s="350"/>
      <c r="AJ30" s="350"/>
      <c r="AK30" s="350"/>
      <c r="AL30" s="350"/>
      <c r="AM30" s="350"/>
      <c r="AN30" s="350"/>
      <c r="AO30" s="350"/>
      <c r="AP30" s="350"/>
      <c r="AQ30" s="350"/>
      <c r="AR30" s="350"/>
      <c r="AS30" s="350"/>
      <c r="AT30" s="350"/>
      <c r="AU30" s="350"/>
      <c r="AV30" s="350"/>
      <c r="AW30" s="350"/>
      <c r="AX30" s="350"/>
      <c r="AY30" s="350"/>
      <c r="AZ30" s="350"/>
      <c r="BA30" s="350"/>
      <c r="BB30" s="350"/>
      <c r="BC30" s="350"/>
      <c r="BD30" s="350"/>
      <c r="BE30" s="350"/>
      <c r="BF30" s="350"/>
      <c r="BG30" s="350"/>
      <c r="BH30" s="350"/>
      <c r="BI30" s="350"/>
      <c r="BJ30" s="350"/>
      <c r="BK30" s="350"/>
      <c r="BL30" s="350"/>
      <c r="BM30" s="350"/>
      <c r="BN30" s="350"/>
      <c r="BO30" s="350"/>
      <c r="BP30" s="350"/>
      <c r="BQ30" s="350"/>
      <c r="BR30" s="350"/>
      <c r="BS30" s="350"/>
      <c r="BT30" s="350"/>
      <c r="BU30" s="350"/>
      <c r="BV30" s="350"/>
      <c r="BW30" s="350"/>
      <c r="BX30" s="350"/>
      <c r="BY30" s="350"/>
      <c r="BZ30" s="350"/>
      <c r="CA30" s="350"/>
      <c r="CB30" s="350"/>
      <c r="CC30" s="350"/>
      <c r="CD30" s="350"/>
      <c r="CE30" s="350"/>
      <c r="CF30" s="350"/>
      <c r="CG30" s="350"/>
      <c r="CH30" s="350"/>
      <c r="CI30" s="350"/>
      <c r="CJ30" s="350"/>
      <c r="CK30" s="350"/>
      <c r="CL30" s="350"/>
      <c r="CM30" s="350"/>
      <c r="CN30" s="350"/>
      <c r="CO30" s="350"/>
      <c r="CP30" s="350"/>
      <c r="CQ30" s="350"/>
      <c r="CR30" s="350"/>
      <c r="CS30" s="350"/>
      <c r="CT30" s="350"/>
      <c r="CU30" s="350"/>
      <c r="CV30" s="350"/>
      <c r="CW30" s="350"/>
      <c r="CX30" s="350"/>
      <c r="CY30" s="350"/>
      <c r="CZ30" s="350"/>
      <c r="DA30" s="350"/>
      <c r="DB30" s="350"/>
      <c r="DC30" s="350"/>
      <c r="DD30" s="350"/>
      <c r="DE30" s="350"/>
      <c r="DF30" s="350"/>
      <c r="DG30" s="350"/>
      <c r="DH30" s="350"/>
      <c r="DI30" s="350"/>
      <c r="DJ30" s="350"/>
      <c r="DK30" s="350"/>
      <c r="DL30" s="350"/>
      <c r="DM30" s="350"/>
      <c r="DN30" s="350"/>
      <c r="DO30" s="350"/>
      <c r="DP30" s="350"/>
      <c r="DQ30" s="350"/>
      <c r="DR30" s="350"/>
      <c r="DS30" s="350"/>
      <c r="DT30" s="350"/>
      <c r="DU30" s="350"/>
      <c r="DV30" s="350"/>
      <c r="DW30" s="350"/>
      <c r="DX30" s="350"/>
      <c r="DY30" s="350"/>
      <c r="DZ30" s="350"/>
      <c r="EA30" s="350"/>
      <c r="EB30" s="350"/>
      <c r="EC30" s="350"/>
      <c r="ED30" s="350"/>
      <c r="EE30" s="350"/>
      <c r="EF30" s="350"/>
      <c r="EG30" s="350"/>
      <c r="EH30" s="350"/>
      <c r="EI30" s="350"/>
      <c r="EJ30" s="350"/>
      <c r="EK30" s="350"/>
      <c r="EL30" s="350"/>
      <c r="EM30" s="350"/>
      <c r="EN30" s="350"/>
      <c r="EO30" s="350"/>
      <c r="EP30" s="350"/>
      <c r="EQ30" s="350"/>
      <c r="ER30" s="350"/>
      <c r="ES30" s="350"/>
      <c r="ET30" s="350"/>
      <c r="EU30" s="350"/>
      <c r="EV30" s="350"/>
      <c r="EW30" s="350"/>
      <c r="EX30" s="350"/>
      <c r="EY30" s="350"/>
      <c r="EZ30" s="350"/>
      <c r="FA30" s="350"/>
      <c r="FB30" s="350"/>
      <c r="FC30" s="350"/>
      <c r="FD30" s="350"/>
      <c r="FE30" s="350"/>
      <c r="FF30" s="350"/>
      <c r="FG30" s="350"/>
      <c r="FH30" s="350"/>
      <c r="FI30" s="350"/>
      <c r="FJ30" s="350"/>
      <c r="FK30" s="350"/>
      <c r="FL30" s="350"/>
      <c r="FM30" s="350"/>
      <c r="FN30" s="350"/>
      <c r="FO30" s="350"/>
      <c r="FP30" s="350"/>
      <c r="FQ30" s="350"/>
      <c r="FR30" s="350"/>
      <c r="FS30" s="350"/>
      <c r="FT30" s="350"/>
      <c r="FU30" s="350"/>
      <c r="FV30" s="350"/>
      <c r="FW30" s="350"/>
      <c r="FX30" s="350"/>
      <c r="FY30" s="350"/>
      <c r="FZ30" s="350"/>
      <c r="GA30" s="350"/>
      <c r="GB30" s="350"/>
      <c r="GC30" s="350"/>
      <c r="GD30" s="350"/>
      <c r="GE30" s="350"/>
      <c r="GF30" s="350"/>
      <c r="GG30" s="350"/>
      <c r="GH30" s="350"/>
      <c r="GI30" s="350"/>
      <c r="GJ30" s="350"/>
      <c r="GK30" s="350"/>
      <c r="GL30" s="350"/>
      <c r="GM30" s="350"/>
      <c r="GN30" s="350"/>
      <c r="GO30" s="350"/>
      <c r="GP30" s="350"/>
      <c r="GQ30" s="350"/>
      <c r="GR30" s="350"/>
      <c r="GS30" s="350"/>
      <c r="GT30" s="350"/>
      <c r="GU30" s="350"/>
      <c r="GV30" s="350"/>
      <c r="GW30" s="350"/>
      <c r="GX30" s="350"/>
      <c r="GY30" s="350"/>
      <c r="GZ30" s="350"/>
      <c r="HA30" s="350"/>
      <c r="HB30" s="350"/>
      <c r="HC30" s="350"/>
      <c r="HD30" s="350"/>
      <c r="HE30" s="350"/>
      <c r="HF30" s="350"/>
      <c r="HG30" s="350"/>
      <c r="HH30" s="350"/>
      <c r="HI30" s="350"/>
      <c r="HJ30" s="350"/>
      <c r="HK30" s="350"/>
      <c r="HL30" s="350"/>
      <c r="HM30" s="350"/>
      <c r="HN30" s="350"/>
      <c r="HO30" s="350"/>
      <c r="HP30" s="350"/>
      <c r="HQ30" s="350"/>
      <c r="HR30" s="350"/>
      <c r="HS30" s="350"/>
      <c r="HT30" s="350"/>
      <c r="HU30" s="350"/>
    </row>
    <row r="31" spans="1:229" ht="17.5" x14ac:dyDescent="0.45">
      <c r="A31" s="270" t="s">
        <v>65</v>
      </c>
      <c r="B31" s="242">
        <v>9519</v>
      </c>
      <c r="C31" s="242">
        <v>2862</v>
      </c>
      <c r="D31" s="242">
        <v>3681</v>
      </c>
      <c r="E31" s="242">
        <v>16062</v>
      </c>
      <c r="F31" s="242">
        <v>8487</v>
      </c>
      <c r="G31" s="242">
        <v>383</v>
      </c>
      <c r="H31" s="242">
        <v>742</v>
      </c>
      <c r="I31" s="242">
        <v>1465</v>
      </c>
      <c r="J31" s="349"/>
      <c r="K31" s="349"/>
      <c r="L31" s="349"/>
      <c r="M31" s="349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  <c r="AA31" s="349"/>
      <c r="AB31" s="350"/>
      <c r="AC31" s="350"/>
      <c r="AD31" s="350"/>
      <c r="AE31" s="350"/>
      <c r="AF31" s="350"/>
      <c r="AG31" s="350"/>
      <c r="AH31" s="350"/>
      <c r="AI31" s="350"/>
      <c r="AJ31" s="350"/>
      <c r="AK31" s="350"/>
      <c r="AL31" s="350"/>
      <c r="AM31" s="350"/>
      <c r="AN31" s="350"/>
      <c r="AO31" s="350"/>
      <c r="AP31" s="350"/>
      <c r="AQ31" s="350"/>
      <c r="AR31" s="350"/>
      <c r="AS31" s="350"/>
      <c r="AT31" s="350"/>
      <c r="AU31" s="350"/>
      <c r="AV31" s="350"/>
      <c r="AW31" s="350"/>
      <c r="AX31" s="350"/>
      <c r="AY31" s="350"/>
      <c r="AZ31" s="350"/>
      <c r="BA31" s="350"/>
      <c r="BB31" s="350"/>
      <c r="BC31" s="350"/>
      <c r="BD31" s="350"/>
      <c r="BE31" s="350"/>
      <c r="BF31" s="350"/>
      <c r="BG31" s="350"/>
      <c r="BH31" s="350"/>
      <c r="BI31" s="350"/>
      <c r="BJ31" s="350"/>
      <c r="BK31" s="350"/>
      <c r="BL31" s="350"/>
      <c r="BM31" s="350"/>
      <c r="BN31" s="350"/>
      <c r="BO31" s="350"/>
      <c r="BP31" s="350"/>
      <c r="BQ31" s="350"/>
      <c r="BR31" s="350"/>
      <c r="BS31" s="350"/>
      <c r="BT31" s="350"/>
      <c r="BU31" s="350"/>
      <c r="BV31" s="350"/>
      <c r="BW31" s="350"/>
      <c r="BX31" s="350"/>
      <c r="BY31" s="350"/>
      <c r="BZ31" s="350"/>
      <c r="CA31" s="350"/>
      <c r="CB31" s="350"/>
      <c r="CC31" s="350"/>
      <c r="CD31" s="350"/>
      <c r="CE31" s="350"/>
      <c r="CF31" s="350"/>
      <c r="CG31" s="350"/>
      <c r="CH31" s="350"/>
      <c r="CI31" s="350"/>
      <c r="CJ31" s="350"/>
      <c r="CK31" s="350"/>
      <c r="CL31" s="350"/>
      <c r="CM31" s="350"/>
      <c r="CN31" s="350"/>
      <c r="CO31" s="350"/>
      <c r="CP31" s="350"/>
      <c r="CQ31" s="350"/>
      <c r="CR31" s="350"/>
      <c r="CS31" s="350"/>
      <c r="CT31" s="350"/>
      <c r="CU31" s="350"/>
      <c r="CV31" s="350"/>
      <c r="CW31" s="350"/>
      <c r="CX31" s="350"/>
      <c r="CY31" s="350"/>
      <c r="CZ31" s="350"/>
      <c r="DA31" s="350"/>
      <c r="DB31" s="350"/>
      <c r="DC31" s="350"/>
      <c r="DD31" s="350"/>
      <c r="DE31" s="350"/>
      <c r="DF31" s="350"/>
      <c r="DG31" s="350"/>
      <c r="DH31" s="350"/>
      <c r="DI31" s="350"/>
      <c r="DJ31" s="350"/>
      <c r="DK31" s="350"/>
      <c r="DL31" s="350"/>
      <c r="DM31" s="350"/>
      <c r="DN31" s="350"/>
      <c r="DO31" s="350"/>
      <c r="DP31" s="350"/>
      <c r="DQ31" s="350"/>
      <c r="DR31" s="350"/>
      <c r="DS31" s="350"/>
      <c r="DT31" s="350"/>
      <c r="DU31" s="350"/>
      <c r="DV31" s="350"/>
      <c r="DW31" s="350"/>
      <c r="DX31" s="350"/>
      <c r="DY31" s="350"/>
      <c r="DZ31" s="350"/>
      <c r="EA31" s="350"/>
      <c r="EB31" s="350"/>
      <c r="EC31" s="350"/>
      <c r="ED31" s="350"/>
      <c r="EE31" s="350"/>
      <c r="EF31" s="350"/>
      <c r="EG31" s="350"/>
      <c r="EH31" s="350"/>
      <c r="EI31" s="350"/>
      <c r="EJ31" s="350"/>
      <c r="EK31" s="350"/>
      <c r="EL31" s="350"/>
      <c r="EM31" s="350"/>
      <c r="EN31" s="350"/>
      <c r="EO31" s="350"/>
      <c r="EP31" s="350"/>
      <c r="EQ31" s="350"/>
      <c r="ER31" s="350"/>
      <c r="ES31" s="350"/>
      <c r="ET31" s="350"/>
      <c r="EU31" s="350"/>
      <c r="EV31" s="350"/>
      <c r="EW31" s="350"/>
      <c r="EX31" s="350"/>
      <c r="EY31" s="350"/>
      <c r="EZ31" s="350"/>
      <c r="FA31" s="350"/>
      <c r="FB31" s="350"/>
      <c r="FC31" s="350"/>
      <c r="FD31" s="350"/>
      <c r="FE31" s="350"/>
      <c r="FF31" s="350"/>
      <c r="FG31" s="350"/>
      <c r="FH31" s="350"/>
      <c r="FI31" s="350"/>
      <c r="FJ31" s="350"/>
      <c r="FK31" s="350"/>
      <c r="FL31" s="350"/>
      <c r="FM31" s="350"/>
      <c r="FN31" s="350"/>
      <c r="FO31" s="350"/>
      <c r="FP31" s="350"/>
      <c r="FQ31" s="350"/>
      <c r="FR31" s="350"/>
      <c r="FS31" s="350"/>
      <c r="FT31" s="350"/>
      <c r="FU31" s="350"/>
      <c r="FV31" s="350"/>
      <c r="FW31" s="350"/>
      <c r="FX31" s="350"/>
      <c r="FY31" s="350"/>
      <c r="FZ31" s="350"/>
      <c r="GA31" s="350"/>
      <c r="GB31" s="350"/>
      <c r="GC31" s="350"/>
      <c r="GD31" s="350"/>
      <c r="GE31" s="350"/>
      <c r="GF31" s="350"/>
      <c r="GG31" s="350"/>
      <c r="GH31" s="350"/>
      <c r="GI31" s="350"/>
      <c r="GJ31" s="350"/>
      <c r="GK31" s="350"/>
      <c r="GL31" s="350"/>
      <c r="GM31" s="350"/>
      <c r="GN31" s="350"/>
      <c r="GO31" s="350"/>
      <c r="GP31" s="350"/>
      <c r="GQ31" s="350"/>
      <c r="GR31" s="350"/>
      <c r="GS31" s="350"/>
      <c r="GT31" s="350"/>
      <c r="GU31" s="350"/>
      <c r="GV31" s="350"/>
      <c r="GW31" s="350"/>
      <c r="GX31" s="350"/>
      <c r="GY31" s="350"/>
      <c r="GZ31" s="350"/>
      <c r="HA31" s="350"/>
      <c r="HB31" s="350"/>
      <c r="HC31" s="350"/>
      <c r="HD31" s="350"/>
      <c r="HE31" s="350"/>
      <c r="HF31" s="350"/>
      <c r="HG31" s="350"/>
      <c r="HH31" s="350"/>
      <c r="HI31" s="350"/>
      <c r="HJ31" s="350"/>
      <c r="HK31" s="350"/>
      <c r="HL31" s="350"/>
      <c r="HM31" s="350"/>
      <c r="HN31" s="350"/>
      <c r="HO31" s="350"/>
      <c r="HP31" s="350"/>
      <c r="HQ31" s="350"/>
      <c r="HR31" s="350"/>
      <c r="HS31" s="350"/>
      <c r="HT31" s="350"/>
      <c r="HU31" s="350"/>
    </row>
    <row r="32" spans="1:229" ht="17.5" x14ac:dyDescent="0.45">
      <c r="A32" s="270" t="s">
        <v>66</v>
      </c>
      <c r="B32" s="242">
        <v>8759</v>
      </c>
      <c r="C32" s="242">
        <v>2800</v>
      </c>
      <c r="D32" s="242">
        <v>3003</v>
      </c>
      <c r="E32" s="242">
        <v>14562</v>
      </c>
      <c r="F32" s="242">
        <v>8616</v>
      </c>
      <c r="G32" s="243">
        <v>0</v>
      </c>
      <c r="H32" s="243">
        <v>0</v>
      </c>
      <c r="I32" s="243">
        <v>0</v>
      </c>
      <c r="J32" s="349"/>
      <c r="K32" s="349"/>
      <c r="L32" s="349"/>
      <c r="M32" s="349"/>
      <c r="N32" s="349"/>
      <c r="O32" s="349"/>
      <c r="P32" s="349"/>
      <c r="Q32" s="349"/>
      <c r="R32" s="349"/>
      <c r="S32" s="349"/>
      <c r="T32" s="349"/>
      <c r="U32" s="349"/>
      <c r="V32" s="349"/>
      <c r="W32" s="349"/>
      <c r="X32" s="349"/>
      <c r="Y32" s="349"/>
      <c r="Z32" s="349"/>
      <c r="AA32" s="349"/>
      <c r="AB32" s="350"/>
      <c r="AC32" s="350"/>
      <c r="AD32" s="350"/>
      <c r="AE32" s="350"/>
      <c r="AF32" s="350"/>
      <c r="AG32" s="350"/>
      <c r="AH32" s="350"/>
      <c r="AI32" s="350"/>
      <c r="AJ32" s="350"/>
      <c r="AK32" s="350"/>
      <c r="AL32" s="350"/>
      <c r="AM32" s="350"/>
      <c r="AN32" s="350"/>
      <c r="AO32" s="350"/>
      <c r="AP32" s="350"/>
      <c r="AQ32" s="350"/>
      <c r="AR32" s="350"/>
      <c r="AS32" s="350"/>
      <c r="AT32" s="350"/>
      <c r="AU32" s="350"/>
      <c r="AV32" s="350"/>
      <c r="AW32" s="350"/>
      <c r="AX32" s="350"/>
      <c r="AY32" s="350"/>
      <c r="AZ32" s="350"/>
      <c r="BA32" s="350"/>
      <c r="BB32" s="350"/>
      <c r="BC32" s="350"/>
      <c r="BD32" s="350"/>
      <c r="BE32" s="350"/>
      <c r="BF32" s="350"/>
      <c r="BG32" s="350"/>
      <c r="BH32" s="350"/>
      <c r="BI32" s="350"/>
      <c r="BJ32" s="350"/>
      <c r="BK32" s="350"/>
      <c r="BL32" s="350"/>
      <c r="BM32" s="350"/>
      <c r="BN32" s="350"/>
      <c r="BO32" s="350"/>
      <c r="BP32" s="350"/>
      <c r="BQ32" s="350"/>
      <c r="BR32" s="350"/>
      <c r="BS32" s="350"/>
      <c r="BT32" s="350"/>
      <c r="BU32" s="350"/>
      <c r="BV32" s="350"/>
      <c r="BW32" s="350"/>
      <c r="BX32" s="350"/>
      <c r="BY32" s="350"/>
      <c r="BZ32" s="350"/>
      <c r="CA32" s="350"/>
      <c r="CB32" s="350"/>
      <c r="CC32" s="350"/>
      <c r="CD32" s="350"/>
      <c r="CE32" s="350"/>
      <c r="CF32" s="350"/>
      <c r="CG32" s="350"/>
      <c r="CH32" s="350"/>
      <c r="CI32" s="350"/>
      <c r="CJ32" s="350"/>
      <c r="CK32" s="350"/>
      <c r="CL32" s="350"/>
      <c r="CM32" s="350"/>
      <c r="CN32" s="350"/>
      <c r="CO32" s="350"/>
      <c r="CP32" s="350"/>
      <c r="CQ32" s="350"/>
      <c r="CR32" s="350"/>
      <c r="CS32" s="350"/>
      <c r="CT32" s="350"/>
      <c r="CU32" s="350"/>
      <c r="CV32" s="350"/>
      <c r="CW32" s="350"/>
      <c r="CX32" s="350"/>
      <c r="CY32" s="350"/>
      <c r="CZ32" s="350"/>
      <c r="DA32" s="350"/>
      <c r="DB32" s="350"/>
      <c r="DC32" s="350"/>
      <c r="DD32" s="350"/>
      <c r="DE32" s="350"/>
      <c r="DF32" s="350"/>
      <c r="DG32" s="350"/>
      <c r="DH32" s="350"/>
      <c r="DI32" s="350"/>
      <c r="DJ32" s="350"/>
      <c r="DK32" s="350"/>
      <c r="DL32" s="350"/>
      <c r="DM32" s="350"/>
      <c r="DN32" s="350"/>
      <c r="DO32" s="350"/>
      <c r="DP32" s="350"/>
      <c r="DQ32" s="350"/>
      <c r="DR32" s="350"/>
      <c r="DS32" s="350"/>
      <c r="DT32" s="350"/>
      <c r="DU32" s="350"/>
      <c r="DV32" s="350"/>
      <c r="DW32" s="350"/>
      <c r="DX32" s="350"/>
      <c r="DY32" s="350"/>
      <c r="DZ32" s="350"/>
      <c r="EA32" s="350"/>
      <c r="EB32" s="350"/>
      <c r="EC32" s="350"/>
      <c r="ED32" s="350"/>
      <c r="EE32" s="350"/>
      <c r="EF32" s="350"/>
      <c r="EG32" s="350"/>
      <c r="EH32" s="350"/>
      <c r="EI32" s="350"/>
      <c r="EJ32" s="350"/>
      <c r="EK32" s="350"/>
      <c r="EL32" s="350"/>
      <c r="EM32" s="350"/>
      <c r="EN32" s="350"/>
      <c r="EO32" s="350"/>
      <c r="EP32" s="350"/>
      <c r="EQ32" s="350"/>
      <c r="ER32" s="350"/>
      <c r="ES32" s="350"/>
      <c r="ET32" s="350"/>
      <c r="EU32" s="350"/>
      <c r="EV32" s="350"/>
      <c r="EW32" s="350"/>
      <c r="EX32" s="350"/>
      <c r="EY32" s="350"/>
      <c r="EZ32" s="350"/>
      <c r="FA32" s="350"/>
      <c r="FB32" s="350"/>
      <c r="FC32" s="350"/>
      <c r="FD32" s="350"/>
      <c r="FE32" s="350"/>
      <c r="FF32" s="350"/>
      <c r="FG32" s="350"/>
      <c r="FH32" s="350"/>
      <c r="FI32" s="350"/>
      <c r="FJ32" s="350"/>
      <c r="FK32" s="350"/>
      <c r="FL32" s="350"/>
      <c r="FM32" s="350"/>
      <c r="FN32" s="350"/>
      <c r="FO32" s="350"/>
      <c r="FP32" s="350"/>
      <c r="FQ32" s="350"/>
      <c r="FR32" s="350"/>
      <c r="FS32" s="350"/>
      <c r="FT32" s="350"/>
      <c r="FU32" s="350"/>
      <c r="FV32" s="350"/>
      <c r="FW32" s="350"/>
      <c r="FX32" s="350"/>
      <c r="FY32" s="350"/>
      <c r="FZ32" s="350"/>
      <c r="GA32" s="350"/>
      <c r="GB32" s="350"/>
      <c r="GC32" s="350"/>
      <c r="GD32" s="350"/>
      <c r="GE32" s="350"/>
      <c r="GF32" s="350"/>
      <c r="GG32" s="350"/>
      <c r="GH32" s="350"/>
      <c r="GI32" s="350"/>
      <c r="GJ32" s="350"/>
      <c r="GK32" s="350"/>
      <c r="GL32" s="350"/>
      <c r="GM32" s="350"/>
      <c r="GN32" s="350"/>
      <c r="GO32" s="350"/>
      <c r="GP32" s="350"/>
      <c r="GQ32" s="350"/>
      <c r="GR32" s="350"/>
      <c r="GS32" s="350"/>
      <c r="GT32" s="350"/>
      <c r="GU32" s="350"/>
      <c r="GV32" s="350"/>
      <c r="GW32" s="350"/>
      <c r="GX32" s="350"/>
      <c r="GY32" s="350"/>
      <c r="GZ32" s="350"/>
      <c r="HA32" s="350"/>
      <c r="HB32" s="350"/>
      <c r="HC32" s="350"/>
      <c r="HD32" s="350"/>
      <c r="HE32" s="350"/>
      <c r="HF32" s="350"/>
      <c r="HG32" s="350"/>
      <c r="HH32" s="350"/>
      <c r="HI32" s="350"/>
      <c r="HJ32" s="350"/>
      <c r="HK32" s="350"/>
      <c r="HL32" s="350"/>
      <c r="HM32" s="350"/>
      <c r="HN32" s="350"/>
      <c r="HO32" s="350"/>
      <c r="HP32" s="350"/>
      <c r="HQ32" s="350"/>
      <c r="HR32" s="350"/>
      <c r="HS32" s="350"/>
      <c r="HT32" s="350"/>
      <c r="HU32" s="350"/>
    </row>
    <row r="33" spans="1:229" ht="17.5" x14ac:dyDescent="0.45">
      <c r="A33" s="269" t="s">
        <v>67</v>
      </c>
      <c r="B33" s="242">
        <v>16919</v>
      </c>
      <c r="C33" s="242">
        <v>2800</v>
      </c>
      <c r="D33" s="242">
        <v>3405</v>
      </c>
      <c r="E33" s="242">
        <v>23124</v>
      </c>
      <c r="F33" s="242">
        <v>9087</v>
      </c>
      <c r="G33" s="242">
        <v>1500</v>
      </c>
      <c r="H33" s="242">
        <v>2654</v>
      </c>
      <c r="I33" s="242">
        <v>1673</v>
      </c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50"/>
      <c r="AC33" s="350"/>
      <c r="AD33" s="350"/>
      <c r="AE33" s="350"/>
      <c r="AF33" s="350"/>
      <c r="AG33" s="350"/>
      <c r="AH33" s="350"/>
      <c r="AI33" s="350"/>
      <c r="AJ33" s="350"/>
      <c r="AK33" s="350"/>
      <c r="AL33" s="350"/>
      <c r="AM33" s="350"/>
      <c r="AN33" s="350"/>
      <c r="AO33" s="350"/>
      <c r="AP33" s="350"/>
      <c r="AQ33" s="350"/>
      <c r="AR33" s="350"/>
      <c r="AS33" s="350"/>
      <c r="AT33" s="350"/>
      <c r="AU33" s="350"/>
      <c r="AV33" s="350"/>
      <c r="AW33" s="350"/>
      <c r="AX33" s="350"/>
      <c r="AY33" s="350"/>
      <c r="AZ33" s="350"/>
      <c r="BA33" s="350"/>
      <c r="BB33" s="350"/>
      <c r="BC33" s="350"/>
      <c r="BD33" s="350"/>
      <c r="BE33" s="350"/>
      <c r="BF33" s="350"/>
      <c r="BG33" s="350"/>
      <c r="BH33" s="350"/>
      <c r="BI33" s="350"/>
      <c r="BJ33" s="350"/>
      <c r="BK33" s="350"/>
      <c r="BL33" s="350"/>
      <c r="BM33" s="350"/>
      <c r="BN33" s="350"/>
      <c r="BO33" s="350"/>
      <c r="BP33" s="350"/>
      <c r="BQ33" s="350"/>
      <c r="BR33" s="350"/>
      <c r="BS33" s="350"/>
      <c r="BT33" s="350"/>
      <c r="BU33" s="350"/>
      <c r="BV33" s="350"/>
      <c r="BW33" s="350"/>
      <c r="BX33" s="350"/>
      <c r="BY33" s="350"/>
      <c r="BZ33" s="350"/>
      <c r="CA33" s="350"/>
      <c r="CB33" s="350"/>
      <c r="CC33" s="350"/>
      <c r="CD33" s="350"/>
      <c r="CE33" s="350"/>
      <c r="CF33" s="350"/>
      <c r="CG33" s="350"/>
      <c r="CH33" s="350"/>
      <c r="CI33" s="350"/>
      <c r="CJ33" s="350"/>
      <c r="CK33" s="350"/>
      <c r="CL33" s="350"/>
      <c r="CM33" s="350"/>
      <c r="CN33" s="350"/>
      <c r="CO33" s="350"/>
      <c r="CP33" s="350"/>
      <c r="CQ33" s="350"/>
      <c r="CR33" s="350"/>
      <c r="CS33" s="350"/>
      <c r="CT33" s="350"/>
      <c r="CU33" s="350"/>
      <c r="CV33" s="350"/>
      <c r="CW33" s="350"/>
      <c r="CX33" s="350"/>
      <c r="CY33" s="350"/>
      <c r="CZ33" s="350"/>
      <c r="DA33" s="350"/>
      <c r="DB33" s="350"/>
      <c r="DC33" s="350"/>
      <c r="DD33" s="350"/>
      <c r="DE33" s="350"/>
      <c r="DF33" s="350"/>
      <c r="DG33" s="350"/>
      <c r="DH33" s="350"/>
      <c r="DI33" s="350"/>
      <c r="DJ33" s="350"/>
      <c r="DK33" s="350"/>
      <c r="DL33" s="350"/>
      <c r="DM33" s="350"/>
      <c r="DN33" s="350"/>
      <c r="DO33" s="350"/>
      <c r="DP33" s="350"/>
      <c r="DQ33" s="350"/>
      <c r="DR33" s="350"/>
      <c r="DS33" s="350"/>
      <c r="DT33" s="350"/>
      <c r="DU33" s="350"/>
      <c r="DV33" s="350"/>
      <c r="DW33" s="350"/>
      <c r="DX33" s="350"/>
      <c r="DY33" s="350"/>
      <c r="DZ33" s="350"/>
      <c r="EA33" s="350"/>
      <c r="EB33" s="350"/>
      <c r="EC33" s="350"/>
      <c r="ED33" s="350"/>
      <c r="EE33" s="350"/>
      <c r="EF33" s="350"/>
      <c r="EG33" s="350"/>
      <c r="EH33" s="350"/>
      <c r="EI33" s="350"/>
      <c r="EJ33" s="350"/>
      <c r="EK33" s="350"/>
      <c r="EL33" s="350"/>
      <c r="EM33" s="350"/>
      <c r="EN33" s="350"/>
      <c r="EO33" s="350"/>
      <c r="EP33" s="350"/>
      <c r="EQ33" s="350"/>
      <c r="ER33" s="350"/>
      <c r="ES33" s="350"/>
      <c r="ET33" s="350"/>
      <c r="EU33" s="350"/>
      <c r="EV33" s="350"/>
      <c r="EW33" s="350"/>
      <c r="EX33" s="350"/>
      <c r="EY33" s="350"/>
      <c r="EZ33" s="350"/>
      <c r="FA33" s="350"/>
      <c r="FB33" s="350"/>
      <c r="FC33" s="350"/>
      <c r="FD33" s="350"/>
      <c r="FE33" s="350"/>
      <c r="FF33" s="350"/>
      <c r="FG33" s="350"/>
      <c r="FH33" s="350"/>
      <c r="FI33" s="350"/>
      <c r="FJ33" s="350"/>
      <c r="FK33" s="350"/>
      <c r="FL33" s="350"/>
      <c r="FM33" s="350"/>
      <c r="FN33" s="350"/>
      <c r="FO33" s="350"/>
      <c r="FP33" s="350"/>
      <c r="FQ33" s="350"/>
      <c r="FR33" s="350"/>
      <c r="FS33" s="350"/>
      <c r="FT33" s="350"/>
      <c r="FU33" s="350"/>
      <c r="FV33" s="350"/>
      <c r="FW33" s="350"/>
      <c r="FX33" s="350"/>
      <c r="FY33" s="350"/>
      <c r="FZ33" s="350"/>
      <c r="GA33" s="350"/>
      <c r="GB33" s="350"/>
      <c r="GC33" s="350"/>
      <c r="GD33" s="350"/>
      <c r="GE33" s="350"/>
      <c r="GF33" s="350"/>
      <c r="GG33" s="350"/>
      <c r="GH33" s="350"/>
      <c r="GI33" s="350"/>
      <c r="GJ33" s="350"/>
      <c r="GK33" s="350"/>
      <c r="GL33" s="350"/>
      <c r="GM33" s="350"/>
      <c r="GN33" s="350"/>
      <c r="GO33" s="350"/>
      <c r="GP33" s="350"/>
      <c r="GQ33" s="350"/>
      <c r="GR33" s="350"/>
      <c r="GS33" s="350"/>
      <c r="GT33" s="350"/>
      <c r="GU33" s="350"/>
      <c r="GV33" s="350"/>
      <c r="GW33" s="350"/>
      <c r="GX33" s="350"/>
      <c r="GY33" s="350"/>
      <c r="GZ33" s="350"/>
      <c r="HA33" s="350"/>
      <c r="HB33" s="350"/>
      <c r="HC33" s="350"/>
      <c r="HD33" s="350"/>
      <c r="HE33" s="350"/>
      <c r="HF33" s="350"/>
      <c r="HG33" s="350"/>
      <c r="HH33" s="350"/>
      <c r="HI33" s="350"/>
      <c r="HJ33" s="350"/>
      <c r="HK33" s="350"/>
      <c r="HL33" s="350"/>
      <c r="HM33" s="350"/>
      <c r="HN33" s="350"/>
      <c r="HO33" s="350"/>
      <c r="HP33" s="350"/>
      <c r="HQ33" s="350"/>
      <c r="HR33" s="350"/>
      <c r="HS33" s="350"/>
      <c r="HT33" s="350"/>
      <c r="HU33" s="350"/>
    </row>
    <row r="34" spans="1:229" ht="17.5" x14ac:dyDescent="0.45">
      <c r="A34" s="269" t="s">
        <v>68</v>
      </c>
      <c r="B34" s="242">
        <v>11623</v>
      </c>
      <c r="C34" s="242">
        <v>1482</v>
      </c>
      <c r="D34" s="242">
        <v>2675</v>
      </c>
      <c r="E34" s="242">
        <v>15780</v>
      </c>
      <c r="F34" s="242">
        <v>7699</v>
      </c>
      <c r="G34" s="242">
        <v>1200</v>
      </c>
      <c r="H34" s="242">
        <v>1195</v>
      </c>
      <c r="I34" s="242">
        <v>1338</v>
      </c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50"/>
      <c r="AC34" s="350"/>
      <c r="AD34" s="350"/>
      <c r="AE34" s="350"/>
      <c r="AF34" s="350"/>
      <c r="AG34" s="350"/>
      <c r="AH34" s="350"/>
      <c r="AI34" s="350"/>
      <c r="AJ34" s="350"/>
      <c r="AK34" s="350"/>
      <c r="AL34" s="350"/>
      <c r="AM34" s="350"/>
      <c r="AN34" s="350"/>
      <c r="AO34" s="350"/>
      <c r="AP34" s="350"/>
      <c r="AQ34" s="350"/>
      <c r="AR34" s="350"/>
      <c r="AS34" s="350"/>
      <c r="AT34" s="350"/>
      <c r="AU34" s="350"/>
      <c r="AV34" s="350"/>
      <c r="AW34" s="350"/>
      <c r="AX34" s="350"/>
      <c r="AY34" s="350"/>
      <c r="AZ34" s="350"/>
      <c r="BA34" s="350"/>
      <c r="BB34" s="350"/>
      <c r="BC34" s="350"/>
      <c r="BD34" s="350"/>
      <c r="BE34" s="350"/>
      <c r="BF34" s="350"/>
      <c r="BG34" s="350"/>
      <c r="BH34" s="350"/>
      <c r="BI34" s="350"/>
      <c r="BJ34" s="350"/>
      <c r="BK34" s="350"/>
      <c r="BL34" s="350"/>
      <c r="BM34" s="350"/>
      <c r="BN34" s="350"/>
      <c r="BO34" s="350"/>
      <c r="BP34" s="350"/>
      <c r="BQ34" s="350"/>
      <c r="BR34" s="350"/>
      <c r="BS34" s="350"/>
      <c r="BT34" s="350"/>
      <c r="BU34" s="350"/>
      <c r="BV34" s="350"/>
      <c r="BW34" s="350"/>
      <c r="BX34" s="350"/>
      <c r="BY34" s="350"/>
      <c r="BZ34" s="350"/>
      <c r="CA34" s="350"/>
      <c r="CB34" s="350"/>
      <c r="CC34" s="350"/>
      <c r="CD34" s="350"/>
      <c r="CE34" s="350"/>
      <c r="CF34" s="350"/>
      <c r="CG34" s="350"/>
      <c r="CH34" s="350"/>
      <c r="CI34" s="350"/>
      <c r="CJ34" s="350"/>
      <c r="CK34" s="350"/>
      <c r="CL34" s="350"/>
      <c r="CM34" s="350"/>
      <c r="CN34" s="350"/>
      <c r="CO34" s="350"/>
      <c r="CP34" s="350"/>
      <c r="CQ34" s="350"/>
      <c r="CR34" s="350"/>
      <c r="CS34" s="350"/>
      <c r="CT34" s="350"/>
      <c r="CU34" s="350"/>
      <c r="CV34" s="350"/>
      <c r="CW34" s="350"/>
      <c r="CX34" s="350"/>
      <c r="CY34" s="350"/>
      <c r="CZ34" s="350"/>
      <c r="DA34" s="350"/>
      <c r="DB34" s="350"/>
      <c r="DC34" s="350"/>
      <c r="DD34" s="350"/>
      <c r="DE34" s="350"/>
      <c r="DF34" s="350"/>
      <c r="DG34" s="350"/>
      <c r="DH34" s="350"/>
      <c r="DI34" s="350"/>
      <c r="DJ34" s="350"/>
      <c r="DK34" s="350"/>
      <c r="DL34" s="350"/>
      <c r="DM34" s="350"/>
      <c r="DN34" s="350"/>
      <c r="DO34" s="350"/>
      <c r="DP34" s="350"/>
      <c r="DQ34" s="350"/>
      <c r="DR34" s="350"/>
      <c r="DS34" s="350"/>
      <c r="DT34" s="350"/>
      <c r="DU34" s="350"/>
      <c r="DV34" s="350"/>
      <c r="DW34" s="350"/>
      <c r="DX34" s="350"/>
      <c r="DY34" s="350"/>
      <c r="DZ34" s="350"/>
      <c r="EA34" s="350"/>
      <c r="EB34" s="350"/>
      <c r="EC34" s="350"/>
      <c r="ED34" s="350"/>
      <c r="EE34" s="350"/>
      <c r="EF34" s="350"/>
      <c r="EG34" s="350"/>
      <c r="EH34" s="350"/>
      <c r="EI34" s="350"/>
      <c r="EJ34" s="350"/>
      <c r="EK34" s="350"/>
      <c r="EL34" s="350"/>
      <c r="EM34" s="350"/>
      <c r="EN34" s="350"/>
      <c r="EO34" s="350"/>
      <c r="EP34" s="350"/>
      <c r="EQ34" s="350"/>
      <c r="ER34" s="350"/>
      <c r="ES34" s="350"/>
      <c r="ET34" s="350"/>
      <c r="EU34" s="350"/>
      <c r="EV34" s="350"/>
      <c r="EW34" s="350"/>
      <c r="EX34" s="350"/>
      <c r="EY34" s="350"/>
      <c r="EZ34" s="350"/>
      <c r="FA34" s="350"/>
      <c r="FB34" s="350"/>
      <c r="FC34" s="350"/>
      <c r="FD34" s="350"/>
      <c r="FE34" s="350"/>
      <c r="FF34" s="350"/>
      <c r="FG34" s="350"/>
      <c r="FH34" s="350"/>
      <c r="FI34" s="350"/>
      <c r="FJ34" s="350"/>
      <c r="FK34" s="350"/>
      <c r="FL34" s="350"/>
      <c r="FM34" s="350"/>
      <c r="FN34" s="350"/>
      <c r="FO34" s="350"/>
      <c r="FP34" s="350"/>
      <c r="FQ34" s="350"/>
      <c r="FR34" s="350"/>
      <c r="FS34" s="350"/>
      <c r="FT34" s="350"/>
      <c r="FU34" s="350"/>
      <c r="FV34" s="350"/>
      <c r="FW34" s="350"/>
      <c r="FX34" s="350"/>
      <c r="FY34" s="350"/>
      <c r="FZ34" s="350"/>
      <c r="GA34" s="350"/>
      <c r="GB34" s="350"/>
      <c r="GC34" s="350"/>
      <c r="GD34" s="350"/>
      <c r="GE34" s="350"/>
      <c r="GF34" s="350"/>
      <c r="GG34" s="350"/>
      <c r="GH34" s="350"/>
      <c r="GI34" s="350"/>
      <c r="GJ34" s="350"/>
      <c r="GK34" s="350"/>
      <c r="GL34" s="350"/>
      <c r="GM34" s="350"/>
      <c r="GN34" s="350"/>
      <c r="GO34" s="350"/>
      <c r="GP34" s="350"/>
      <c r="GQ34" s="350"/>
      <c r="GR34" s="350"/>
      <c r="GS34" s="350"/>
      <c r="GT34" s="350"/>
      <c r="GU34" s="350"/>
      <c r="GV34" s="350"/>
      <c r="GW34" s="350"/>
      <c r="GX34" s="350"/>
      <c r="GY34" s="350"/>
      <c r="GZ34" s="350"/>
      <c r="HA34" s="350"/>
      <c r="HB34" s="350"/>
      <c r="HC34" s="350"/>
      <c r="HD34" s="350"/>
      <c r="HE34" s="350"/>
      <c r="HF34" s="350"/>
      <c r="HG34" s="350"/>
      <c r="HH34" s="350"/>
      <c r="HI34" s="350"/>
      <c r="HJ34" s="350"/>
      <c r="HK34" s="350"/>
      <c r="HL34" s="350"/>
      <c r="HM34" s="350"/>
      <c r="HN34" s="350"/>
      <c r="HO34" s="350"/>
      <c r="HP34" s="350"/>
      <c r="HQ34" s="350"/>
      <c r="HR34" s="350"/>
      <c r="HS34" s="350"/>
      <c r="HT34" s="350"/>
      <c r="HU34" s="350"/>
    </row>
    <row r="35" spans="1:229" ht="17.5" x14ac:dyDescent="0.45">
      <c r="A35" s="269" t="s">
        <v>69</v>
      </c>
      <c r="B35" s="242">
        <v>8732</v>
      </c>
      <c r="C35" s="242">
        <v>1276</v>
      </c>
      <c r="D35" s="242">
        <v>2144</v>
      </c>
      <c r="E35" s="242">
        <v>12152</v>
      </c>
      <c r="F35" s="242">
        <v>4576</v>
      </c>
      <c r="G35" s="242">
        <v>300</v>
      </c>
      <c r="H35" s="242">
        <v>1459</v>
      </c>
      <c r="I35" s="242">
        <v>335</v>
      </c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50"/>
      <c r="AC35" s="350"/>
      <c r="AD35" s="350"/>
      <c r="AE35" s="350"/>
      <c r="AF35" s="350"/>
      <c r="AG35" s="350"/>
      <c r="AH35" s="350"/>
      <c r="AI35" s="350"/>
      <c r="AJ35" s="350"/>
      <c r="AK35" s="350"/>
      <c r="AL35" s="350"/>
      <c r="AM35" s="350"/>
      <c r="AN35" s="350"/>
      <c r="AO35" s="350"/>
      <c r="AP35" s="350"/>
      <c r="AQ35" s="350"/>
      <c r="AR35" s="350"/>
      <c r="AS35" s="350"/>
      <c r="AT35" s="350"/>
      <c r="AU35" s="350"/>
      <c r="AV35" s="350"/>
      <c r="AW35" s="350"/>
      <c r="AX35" s="350"/>
      <c r="AY35" s="350"/>
      <c r="AZ35" s="350"/>
      <c r="BA35" s="350"/>
      <c r="BB35" s="350"/>
      <c r="BC35" s="350"/>
      <c r="BD35" s="350"/>
      <c r="BE35" s="350"/>
      <c r="BF35" s="350"/>
      <c r="BG35" s="350"/>
      <c r="BH35" s="350"/>
      <c r="BI35" s="350"/>
      <c r="BJ35" s="350"/>
      <c r="BK35" s="350"/>
      <c r="BL35" s="350"/>
      <c r="BM35" s="350"/>
      <c r="BN35" s="350"/>
      <c r="BO35" s="350"/>
      <c r="BP35" s="350"/>
      <c r="BQ35" s="350"/>
      <c r="BR35" s="350"/>
      <c r="BS35" s="350"/>
      <c r="BT35" s="350"/>
      <c r="BU35" s="350"/>
      <c r="BV35" s="350"/>
      <c r="BW35" s="350"/>
      <c r="BX35" s="350"/>
      <c r="BY35" s="350"/>
      <c r="BZ35" s="350"/>
      <c r="CA35" s="350"/>
      <c r="CB35" s="350"/>
      <c r="CC35" s="350"/>
      <c r="CD35" s="350"/>
      <c r="CE35" s="350"/>
      <c r="CF35" s="350"/>
      <c r="CG35" s="350"/>
      <c r="CH35" s="350"/>
      <c r="CI35" s="350"/>
      <c r="CJ35" s="350"/>
      <c r="CK35" s="350"/>
      <c r="CL35" s="350"/>
      <c r="CM35" s="350"/>
      <c r="CN35" s="350"/>
      <c r="CO35" s="350"/>
      <c r="CP35" s="350"/>
      <c r="CQ35" s="350"/>
      <c r="CR35" s="350"/>
      <c r="CS35" s="350"/>
      <c r="CT35" s="350"/>
      <c r="CU35" s="350"/>
      <c r="CV35" s="350"/>
      <c r="CW35" s="350"/>
      <c r="CX35" s="350"/>
      <c r="CY35" s="350"/>
      <c r="CZ35" s="350"/>
      <c r="DA35" s="350"/>
      <c r="DB35" s="350"/>
      <c r="DC35" s="350"/>
      <c r="DD35" s="350"/>
      <c r="DE35" s="350"/>
      <c r="DF35" s="350"/>
      <c r="DG35" s="350"/>
      <c r="DH35" s="350"/>
      <c r="DI35" s="350"/>
      <c r="DJ35" s="350"/>
      <c r="DK35" s="350"/>
      <c r="DL35" s="350"/>
      <c r="DM35" s="350"/>
      <c r="DN35" s="350"/>
      <c r="DO35" s="350"/>
      <c r="DP35" s="350"/>
      <c r="DQ35" s="350"/>
      <c r="DR35" s="350"/>
      <c r="DS35" s="350"/>
      <c r="DT35" s="350"/>
      <c r="DU35" s="350"/>
      <c r="DV35" s="350"/>
      <c r="DW35" s="350"/>
      <c r="DX35" s="350"/>
      <c r="DY35" s="350"/>
      <c r="DZ35" s="350"/>
      <c r="EA35" s="350"/>
      <c r="EB35" s="350"/>
      <c r="EC35" s="350"/>
      <c r="ED35" s="350"/>
      <c r="EE35" s="350"/>
      <c r="EF35" s="350"/>
      <c r="EG35" s="350"/>
      <c r="EH35" s="350"/>
      <c r="EI35" s="350"/>
      <c r="EJ35" s="350"/>
      <c r="EK35" s="350"/>
      <c r="EL35" s="350"/>
      <c r="EM35" s="350"/>
      <c r="EN35" s="350"/>
      <c r="EO35" s="350"/>
      <c r="EP35" s="350"/>
      <c r="EQ35" s="350"/>
      <c r="ER35" s="350"/>
      <c r="ES35" s="350"/>
      <c r="ET35" s="350"/>
      <c r="EU35" s="350"/>
      <c r="EV35" s="350"/>
      <c r="EW35" s="350"/>
      <c r="EX35" s="350"/>
      <c r="EY35" s="350"/>
      <c r="EZ35" s="350"/>
      <c r="FA35" s="350"/>
      <c r="FB35" s="350"/>
      <c r="FC35" s="350"/>
      <c r="FD35" s="350"/>
      <c r="FE35" s="350"/>
      <c r="FF35" s="350"/>
      <c r="FG35" s="350"/>
      <c r="FH35" s="350"/>
      <c r="FI35" s="350"/>
      <c r="FJ35" s="350"/>
      <c r="FK35" s="350"/>
      <c r="FL35" s="350"/>
      <c r="FM35" s="350"/>
      <c r="FN35" s="350"/>
      <c r="FO35" s="350"/>
      <c r="FP35" s="350"/>
      <c r="FQ35" s="350"/>
      <c r="FR35" s="350"/>
      <c r="FS35" s="350"/>
      <c r="FT35" s="350"/>
      <c r="FU35" s="350"/>
      <c r="FV35" s="350"/>
      <c r="FW35" s="350"/>
      <c r="FX35" s="350"/>
      <c r="FY35" s="350"/>
      <c r="FZ35" s="350"/>
      <c r="GA35" s="350"/>
      <c r="GB35" s="350"/>
      <c r="GC35" s="350"/>
      <c r="GD35" s="350"/>
      <c r="GE35" s="350"/>
      <c r="GF35" s="350"/>
      <c r="GG35" s="350"/>
      <c r="GH35" s="350"/>
      <c r="GI35" s="350"/>
      <c r="GJ35" s="350"/>
      <c r="GK35" s="350"/>
      <c r="GL35" s="350"/>
      <c r="GM35" s="350"/>
      <c r="GN35" s="350"/>
      <c r="GO35" s="350"/>
      <c r="GP35" s="350"/>
      <c r="GQ35" s="350"/>
      <c r="GR35" s="350"/>
      <c r="GS35" s="350"/>
      <c r="GT35" s="350"/>
      <c r="GU35" s="350"/>
      <c r="GV35" s="350"/>
      <c r="GW35" s="350"/>
      <c r="GX35" s="350"/>
      <c r="GY35" s="350"/>
      <c r="GZ35" s="350"/>
      <c r="HA35" s="350"/>
      <c r="HB35" s="350"/>
      <c r="HC35" s="350"/>
      <c r="HD35" s="350"/>
      <c r="HE35" s="350"/>
      <c r="HF35" s="350"/>
      <c r="HG35" s="350"/>
      <c r="HH35" s="350"/>
      <c r="HI35" s="350"/>
      <c r="HJ35" s="350"/>
      <c r="HK35" s="350"/>
      <c r="HL35" s="350"/>
      <c r="HM35" s="350"/>
      <c r="HN35" s="350"/>
      <c r="HO35" s="350"/>
      <c r="HP35" s="350"/>
      <c r="HQ35" s="350"/>
      <c r="HR35" s="350"/>
      <c r="HS35" s="350"/>
      <c r="HT35" s="350"/>
      <c r="HU35" s="350"/>
    </row>
    <row r="36" spans="1:229" ht="17.5" x14ac:dyDescent="0.45">
      <c r="A36" s="270" t="s">
        <v>70</v>
      </c>
      <c r="B36" s="242">
        <v>8881</v>
      </c>
      <c r="C36" s="242">
        <v>2493</v>
      </c>
      <c r="D36" s="242">
        <v>3161</v>
      </c>
      <c r="E36" s="242">
        <v>14535</v>
      </c>
      <c r="F36" s="242">
        <v>4733</v>
      </c>
      <c r="G36" s="242">
        <v>1350</v>
      </c>
      <c r="H36" s="242">
        <v>2389</v>
      </c>
      <c r="I36" s="242">
        <v>1506</v>
      </c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50"/>
      <c r="AC36" s="350"/>
      <c r="AD36" s="350"/>
      <c r="AE36" s="350"/>
      <c r="AF36" s="350"/>
      <c r="AG36" s="350"/>
      <c r="AH36" s="350"/>
      <c r="AI36" s="350"/>
      <c r="AJ36" s="350"/>
      <c r="AK36" s="350"/>
      <c r="AL36" s="350"/>
      <c r="AM36" s="350"/>
      <c r="AN36" s="350"/>
      <c r="AO36" s="350"/>
      <c r="AP36" s="350"/>
      <c r="AQ36" s="350"/>
      <c r="AR36" s="350"/>
      <c r="AS36" s="350"/>
      <c r="AT36" s="350"/>
      <c r="AU36" s="350"/>
      <c r="AV36" s="350"/>
      <c r="AW36" s="350"/>
      <c r="AX36" s="350"/>
      <c r="AY36" s="350"/>
      <c r="AZ36" s="350"/>
      <c r="BA36" s="350"/>
      <c r="BB36" s="350"/>
      <c r="BC36" s="350"/>
      <c r="BD36" s="350"/>
      <c r="BE36" s="350"/>
      <c r="BF36" s="350"/>
      <c r="BG36" s="350"/>
      <c r="BH36" s="350"/>
      <c r="BI36" s="350"/>
      <c r="BJ36" s="350"/>
      <c r="BK36" s="350"/>
      <c r="BL36" s="350"/>
      <c r="BM36" s="350"/>
      <c r="BN36" s="350"/>
      <c r="BO36" s="350"/>
      <c r="BP36" s="350"/>
      <c r="BQ36" s="350"/>
      <c r="BR36" s="350"/>
      <c r="BS36" s="350"/>
      <c r="BT36" s="350"/>
      <c r="BU36" s="350"/>
      <c r="BV36" s="350"/>
      <c r="BW36" s="350"/>
      <c r="BX36" s="350"/>
      <c r="BY36" s="350"/>
      <c r="BZ36" s="350"/>
      <c r="CA36" s="350"/>
      <c r="CB36" s="350"/>
      <c r="CC36" s="350"/>
      <c r="CD36" s="350"/>
      <c r="CE36" s="350"/>
      <c r="CF36" s="350"/>
      <c r="CG36" s="350"/>
      <c r="CH36" s="350"/>
      <c r="CI36" s="350"/>
      <c r="CJ36" s="350"/>
      <c r="CK36" s="350"/>
      <c r="CL36" s="350"/>
      <c r="CM36" s="350"/>
      <c r="CN36" s="350"/>
      <c r="CO36" s="350"/>
      <c r="CP36" s="350"/>
      <c r="CQ36" s="350"/>
      <c r="CR36" s="350"/>
      <c r="CS36" s="350"/>
      <c r="CT36" s="350"/>
      <c r="CU36" s="350"/>
      <c r="CV36" s="350"/>
      <c r="CW36" s="350"/>
      <c r="CX36" s="350"/>
      <c r="CY36" s="350"/>
      <c r="CZ36" s="350"/>
      <c r="DA36" s="350"/>
      <c r="DB36" s="350"/>
      <c r="DC36" s="350"/>
      <c r="DD36" s="350"/>
      <c r="DE36" s="350"/>
      <c r="DF36" s="350"/>
      <c r="DG36" s="350"/>
      <c r="DH36" s="350"/>
      <c r="DI36" s="350"/>
      <c r="DJ36" s="350"/>
      <c r="DK36" s="350"/>
      <c r="DL36" s="350"/>
      <c r="DM36" s="350"/>
      <c r="DN36" s="350"/>
      <c r="DO36" s="350"/>
      <c r="DP36" s="350"/>
      <c r="DQ36" s="350"/>
      <c r="DR36" s="350"/>
      <c r="DS36" s="350"/>
      <c r="DT36" s="350"/>
      <c r="DU36" s="350"/>
      <c r="DV36" s="350"/>
      <c r="DW36" s="350"/>
      <c r="DX36" s="350"/>
      <c r="DY36" s="350"/>
      <c r="DZ36" s="350"/>
      <c r="EA36" s="350"/>
      <c r="EB36" s="350"/>
      <c r="EC36" s="350"/>
      <c r="ED36" s="350"/>
      <c r="EE36" s="350"/>
      <c r="EF36" s="350"/>
      <c r="EG36" s="350"/>
      <c r="EH36" s="350"/>
      <c r="EI36" s="350"/>
      <c r="EJ36" s="350"/>
      <c r="EK36" s="350"/>
      <c r="EL36" s="350"/>
      <c r="EM36" s="350"/>
      <c r="EN36" s="350"/>
      <c r="EO36" s="350"/>
      <c r="EP36" s="350"/>
      <c r="EQ36" s="350"/>
      <c r="ER36" s="350"/>
      <c r="ES36" s="350"/>
      <c r="ET36" s="350"/>
      <c r="EU36" s="350"/>
      <c r="EV36" s="350"/>
      <c r="EW36" s="350"/>
      <c r="EX36" s="350"/>
      <c r="EY36" s="350"/>
      <c r="EZ36" s="350"/>
      <c r="FA36" s="350"/>
      <c r="FB36" s="350"/>
      <c r="FC36" s="350"/>
      <c r="FD36" s="350"/>
      <c r="FE36" s="350"/>
      <c r="FF36" s="350"/>
      <c r="FG36" s="350"/>
      <c r="FH36" s="350"/>
      <c r="FI36" s="350"/>
      <c r="FJ36" s="350"/>
      <c r="FK36" s="350"/>
      <c r="FL36" s="350"/>
      <c r="FM36" s="350"/>
      <c r="FN36" s="350"/>
      <c r="FO36" s="350"/>
      <c r="FP36" s="350"/>
      <c r="FQ36" s="350"/>
      <c r="FR36" s="350"/>
      <c r="FS36" s="350"/>
      <c r="FT36" s="350"/>
      <c r="FU36" s="350"/>
      <c r="FV36" s="350"/>
      <c r="FW36" s="350"/>
      <c r="FX36" s="350"/>
      <c r="FY36" s="350"/>
      <c r="FZ36" s="350"/>
      <c r="GA36" s="350"/>
      <c r="GB36" s="350"/>
      <c r="GC36" s="350"/>
      <c r="GD36" s="350"/>
      <c r="GE36" s="350"/>
      <c r="GF36" s="350"/>
      <c r="GG36" s="350"/>
      <c r="GH36" s="350"/>
      <c r="GI36" s="350"/>
      <c r="GJ36" s="350"/>
      <c r="GK36" s="350"/>
      <c r="GL36" s="350"/>
      <c r="GM36" s="350"/>
      <c r="GN36" s="350"/>
      <c r="GO36" s="350"/>
      <c r="GP36" s="350"/>
      <c r="GQ36" s="350"/>
      <c r="GR36" s="350"/>
      <c r="GS36" s="350"/>
      <c r="GT36" s="350"/>
      <c r="GU36" s="350"/>
      <c r="GV36" s="350"/>
      <c r="GW36" s="350"/>
      <c r="GX36" s="350"/>
      <c r="GY36" s="350"/>
      <c r="GZ36" s="350"/>
      <c r="HA36" s="350"/>
      <c r="HB36" s="350"/>
      <c r="HC36" s="350"/>
      <c r="HD36" s="350"/>
      <c r="HE36" s="350"/>
      <c r="HF36" s="350"/>
      <c r="HG36" s="350"/>
      <c r="HH36" s="350"/>
      <c r="HI36" s="350"/>
      <c r="HJ36" s="350"/>
      <c r="HK36" s="350"/>
      <c r="HL36" s="350"/>
      <c r="HM36" s="350"/>
      <c r="HN36" s="350"/>
      <c r="HO36" s="350"/>
      <c r="HP36" s="350"/>
      <c r="HQ36" s="350"/>
      <c r="HR36" s="350"/>
      <c r="HS36" s="350"/>
      <c r="HT36" s="350"/>
      <c r="HU36" s="350"/>
    </row>
    <row r="37" spans="1:229" ht="17.5" x14ac:dyDescent="0.45">
      <c r="A37" s="269" t="s">
        <v>71</v>
      </c>
      <c r="B37" s="242">
        <v>10811</v>
      </c>
      <c r="C37" s="242">
        <v>2375</v>
      </c>
      <c r="D37" s="242">
        <v>2779</v>
      </c>
      <c r="E37" s="242">
        <v>15965</v>
      </c>
      <c r="F37" s="242">
        <v>4874</v>
      </c>
      <c r="G37" s="243">
        <v>0</v>
      </c>
      <c r="H37" s="242">
        <v>6</v>
      </c>
      <c r="I37" s="242">
        <v>641</v>
      </c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50"/>
      <c r="AC37" s="350"/>
      <c r="AD37" s="350"/>
      <c r="AE37" s="350"/>
      <c r="AF37" s="350"/>
      <c r="AG37" s="350"/>
      <c r="AH37" s="350"/>
      <c r="AI37" s="350"/>
      <c r="AJ37" s="350"/>
      <c r="AK37" s="350"/>
      <c r="AL37" s="350"/>
      <c r="AM37" s="350"/>
      <c r="AN37" s="350"/>
      <c r="AO37" s="350"/>
      <c r="AP37" s="350"/>
      <c r="AQ37" s="350"/>
      <c r="AR37" s="350"/>
      <c r="AS37" s="350"/>
      <c r="AT37" s="350"/>
      <c r="AU37" s="350"/>
      <c r="AV37" s="350"/>
      <c r="AW37" s="350"/>
      <c r="AX37" s="350"/>
      <c r="AY37" s="350"/>
      <c r="AZ37" s="350"/>
      <c r="BA37" s="350"/>
      <c r="BB37" s="350"/>
      <c r="BC37" s="350"/>
      <c r="BD37" s="350"/>
      <c r="BE37" s="350"/>
      <c r="BF37" s="350"/>
      <c r="BG37" s="350"/>
      <c r="BH37" s="350"/>
      <c r="BI37" s="350"/>
      <c r="BJ37" s="350"/>
      <c r="BK37" s="350"/>
      <c r="BL37" s="350"/>
      <c r="BM37" s="350"/>
      <c r="BN37" s="350"/>
      <c r="BO37" s="350"/>
      <c r="BP37" s="350"/>
      <c r="BQ37" s="350"/>
      <c r="BR37" s="350"/>
      <c r="BS37" s="350"/>
      <c r="BT37" s="350"/>
      <c r="BU37" s="350"/>
      <c r="BV37" s="350"/>
      <c r="BW37" s="350"/>
      <c r="BX37" s="350"/>
      <c r="BY37" s="350"/>
      <c r="BZ37" s="350"/>
      <c r="CA37" s="350"/>
      <c r="CB37" s="350"/>
      <c r="CC37" s="350"/>
      <c r="CD37" s="350"/>
      <c r="CE37" s="350"/>
      <c r="CF37" s="350"/>
      <c r="CG37" s="350"/>
      <c r="CH37" s="350"/>
      <c r="CI37" s="350"/>
      <c r="CJ37" s="350"/>
      <c r="CK37" s="350"/>
      <c r="CL37" s="350"/>
      <c r="CM37" s="350"/>
      <c r="CN37" s="350"/>
      <c r="CO37" s="350"/>
      <c r="CP37" s="350"/>
      <c r="CQ37" s="350"/>
      <c r="CR37" s="350"/>
      <c r="CS37" s="350"/>
      <c r="CT37" s="350"/>
      <c r="CU37" s="350"/>
      <c r="CV37" s="350"/>
      <c r="CW37" s="350"/>
      <c r="CX37" s="350"/>
      <c r="CY37" s="350"/>
      <c r="CZ37" s="350"/>
      <c r="DA37" s="350"/>
      <c r="DB37" s="350"/>
      <c r="DC37" s="350"/>
      <c r="DD37" s="350"/>
      <c r="DE37" s="350"/>
      <c r="DF37" s="350"/>
      <c r="DG37" s="350"/>
      <c r="DH37" s="350"/>
      <c r="DI37" s="350"/>
      <c r="DJ37" s="350"/>
      <c r="DK37" s="350"/>
      <c r="DL37" s="350"/>
      <c r="DM37" s="350"/>
      <c r="DN37" s="350"/>
      <c r="DO37" s="350"/>
      <c r="DP37" s="350"/>
      <c r="DQ37" s="350"/>
      <c r="DR37" s="350"/>
      <c r="DS37" s="350"/>
      <c r="DT37" s="350"/>
      <c r="DU37" s="350"/>
      <c r="DV37" s="350"/>
      <c r="DW37" s="350"/>
      <c r="DX37" s="350"/>
      <c r="DY37" s="350"/>
      <c r="DZ37" s="350"/>
      <c r="EA37" s="350"/>
      <c r="EB37" s="350"/>
      <c r="EC37" s="350"/>
      <c r="ED37" s="350"/>
      <c r="EE37" s="350"/>
      <c r="EF37" s="350"/>
      <c r="EG37" s="350"/>
      <c r="EH37" s="350"/>
      <c r="EI37" s="350"/>
      <c r="EJ37" s="350"/>
      <c r="EK37" s="350"/>
      <c r="EL37" s="350"/>
      <c r="EM37" s="350"/>
      <c r="EN37" s="350"/>
      <c r="EO37" s="350"/>
      <c r="EP37" s="350"/>
      <c r="EQ37" s="350"/>
      <c r="ER37" s="350"/>
      <c r="ES37" s="350"/>
      <c r="ET37" s="350"/>
      <c r="EU37" s="350"/>
      <c r="EV37" s="350"/>
      <c r="EW37" s="350"/>
      <c r="EX37" s="350"/>
      <c r="EY37" s="350"/>
      <c r="EZ37" s="350"/>
      <c r="FA37" s="350"/>
      <c r="FB37" s="350"/>
      <c r="FC37" s="350"/>
      <c r="FD37" s="350"/>
      <c r="FE37" s="350"/>
      <c r="FF37" s="350"/>
      <c r="FG37" s="350"/>
      <c r="FH37" s="350"/>
      <c r="FI37" s="350"/>
      <c r="FJ37" s="350"/>
      <c r="FK37" s="350"/>
      <c r="FL37" s="350"/>
      <c r="FM37" s="350"/>
      <c r="FN37" s="350"/>
      <c r="FO37" s="350"/>
      <c r="FP37" s="350"/>
      <c r="FQ37" s="350"/>
      <c r="FR37" s="350"/>
      <c r="FS37" s="350"/>
      <c r="FT37" s="350"/>
      <c r="FU37" s="350"/>
      <c r="FV37" s="350"/>
      <c r="FW37" s="350"/>
      <c r="FX37" s="350"/>
      <c r="FY37" s="350"/>
      <c r="FZ37" s="350"/>
      <c r="GA37" s="350"/>
      <c r="GB37" s="350"/>
      <c r="GC37" s="350"/>
      <c r="GD37" s="350"/>
      <c r="GE37" s="350"/>
      <c r="GF37" s="350"/>
      <c r="GG37" s="350"/>
      <c r="GH37" s="350"/>
      <c r="GI37" s="350"/>
      <c r="GJ37" s="350"/>
      <c r="GK37" s="350"/>
      <c r="GL37" s="350"/>
      <c r="GM37" s="350"/>
      <c r="GN37" s="350"/>
      <c r="GO37" s="350"/>
      <c r="GP37" s="350"/>
      <c r="GQ37" s="350"/>
      <c r="GR37" s="350"/>
      <c r="GS37" s="350"/>
      <c r="GT37" s="350"/>
      <c r="GU37" s="350"/>
      <c r="GV37" s="350"/>
      <c r="GW37" s="350"/>
      <c r="GX37" s="350"/>
      <c r="GY37" s="350"/>
      <c r="GZ37" s="350"/>
      <c r="HA37" s="350"/>
      <c r="HB37" s="350"/>
      <c r="HC37" s="350"/>
      <c r="HD37" s="350"/>
      <c r="HE37" s="350"/>
      <c r="HF37" s="350"/>
      <c r="HG37" s="350"/>
      <c r="HH37" s="350"/>
      <c r="HI37" s="350"/>
      <c r="HJ37" s="350"/>
      <c r="HK37" s="350"/>
      <c r="HL37" s="350"/>
      <c r="HM37" s="350"/>
      <c r="HN37" s="350"/>
      <c r="HO37" s="350"/>
      <c r="HP37" s="350"/>
      <c r="HQ37" s="350"/>
      <c r="HR37" s="350"/>
      <c r="HS37" s="350"/>
      <c r="HT37" s="350"/>
      <c r="HU37" s="350"/>
    </row>
    <row r="38" spans="1:229" ht="17.5" x14ac:dyDescent="0.45">
      <c r="A38" s="269" t="s">
        <v>72</v>
      </c>
      <c r="B38" s="242">
        <v>13916</v>
      </c>
      <c r="C38" s="242">
        <v>2897</v>
      </c>
      <c r="D38" s="242">
        <v>2795</v>
      </c>
      <c r="E38" s="242">
        <v>19608</v>
      </c>
      <c r="F38" s="242">
        <v>5781</v>
      </c>
      <c r="G38" s="243">
        <v>0</v>
      </c>
      <c r="H38" s="242">
        <v>-6</v>
      </c>
      <c r="I38" s="242">
        <v>0</v>
      </c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50"/>
      <c r="AC38" s="350"/>
      <c r="AD38" s="350"/>
      <c r="AE38" s="350"/>
      <c r="AF38" s="350"/>
      <c r="AG38" s="350"/>
      <c r="AH38" s="350"/>
      <c r="AI38" s="350"/>
      <c r="AJ38" s="350"/>
      <c r="AK38" s="350"/>
      <c r="AL38" s="350"/>
      <c r="AM38" s="350"/>
      <c r="AN38" s="350"/>
      <c r="AO38" s="350"/>
      <c r="AP38" s="350"/>
      <c r="AQ38" s="350"/>
      <c r="AR38" s="350"/>
      <c r="AS38" s="350"/>
      <c r="AT38" s="350"/>
      <c r="AU38" s="350"/>
      <c r="AV38" s="350"/>
      <c r="AW38" s="350"/>
      <c r="AX38" s="350"/>
      <c r="AY38" s="350"/>
      <c r="AZ38" s="350"/>
      <c r="BA38" s="350"/>
      <c r="BB38" s="350"/>
      <c r="BC38" s="350"/>
      <c r="BD38" s="350"/>
      <c r="BE38" s="350"/>
      <c r="BF38" s="350"/>
      <c r="BG38" s="350"/>
      <c r="BH38" s="350"/>
      <c r="BI38" s="350"/>
      <c r="BJ38" s="350"/>
      <c r="BK38" s="350"/>
      <c r="BL38" s="350"/>
      <c r="BM38" s="350"/>
      <c r="BN38" s="350"/>
      <c r="BO38" s="350"/>
      <c r="BP38" s="350"/>
      <c r="BQ38" s="350"/>
      <c r="BR38" s="350"/>
      <c r="BS38" s="350"/>
      <c r="BT38" s="350"/>
      <c r="BU38" s="350"/>
      <c r="BV38" s="350"/>
      <c r="BW38" s="350"/>
      <c r="BX38" s="350"/>
      <c r="BY38" s="350"/>
      <c r="BZ38" s="350"/>
      <c r="CA38" s="350"/>
      <c r="CB38" s="350"/>
      <c r="CC38" s="350"/>
      <c r="CD38" s="350"/>
      <c r="CE38" s="350"/>
      <c r="CF38" s="350"/>
      <c r="CG38" s="350"/>
      <c r="CH38" s="350"/>
      <c r="CI38" s="350"/>
      <c r="CJ38" s="350"/>
      <c r="CK38" s="350"/>
      <c r="CL38" s="350"/>
      <c r="CM38" s="350"/>
      <c r="CN38" s="350"/>
      <c r="CO38" s="350"/>
      <c r="CP38" s="350"/>
      <c r="CQ38" s="350"/>
      <c r="CR38" s="350"/>
      <c r="CS38" s="350"/>
      <c r="CT38" s="350"/>
      <c r="CU38" s="350"/>
      <c r="CV38" s="350"/>
      <c r="CW38" s="350"/>
      <c r="CX38" s="350"/>
      <c r="CY38" s="350"/>
      <c r="CZ38" s="350"/>
      <c r="DA38" s="350"/>
      <c r="DB38" s="350"/>
      <c r="DC38" s="350"/>
      <c r="DD38" s="350"/>
      <c r="DE38" s="350"/>
      <c r="DF38" s="350"/>
      <c r="DG38" s="350"/>
      <c r="DH38" s="350"/>
      <c r="DI38" s="350"/>
      <c r="DJ38" s="350"/>
      <c r="DK38" s="350"/>
      <c r="DL38" s="350"/>
      <c r="DM38" s="350"/>
      <c r="DN38" s="350"/>
      <c r="DO38" s="350"/>
      <c r="DP38" s="350"/>
      <c r="DQ38" s="350"/>
      <c r="DR38" s="350"/>
      <c r="DS38" s="350"/>
      <c r="DT38" s="350"/>
      <c r="DU38" s="350"/>
      <c r="DV38" s="350"/>
      <c r="DW38" s="350"/>
      <c r="DX38" s="350"/>
      <c r="DY38" s="350"/>
      <c r="DZ38" s="350"/>
      <c r="EA38" s="350"/>
      <c r="EB38" s="350"/>
      <c r="EC38" s="350"/>
      <c r="ED38" s="350"/>
      <c r="EE38" s="350"/>
      <c r="EF38" s="350"/>
      <c r="EG38" s="350"/>
      <c r="EH38" s="350"/>
      <c r="EI38" s="350"/>
      <c r="EJ38" s="350"/>
      <c r="EK38" s="350"/>
      <c r="EL38" s="350"/>
      <c r="EM38" s="350"/>
      <c r="EN38" s="350"/>
      <c r="EO38" s="350"/>
      <c r="EP38" s="350"/>
      <c r="EQ38" s="350"/>
      <c r="ER38" s="350"/>
      <c r="ES38" s="350"/>
      <c r="ET38" s="350"/>
      <c r="EU38" s="350"/>
      <c r="EV38" s="350"/>
      <c r="EW38" s="350"/>
      <c r="EX38" s="350"/>
      <c r="EY38" s="350"/>
      <c r="EZ38" s="350"/>
      <c r="FA38" s="350"/>
      <c r="FB38" s="350"/>
      <c r="FC38" s="350"/>
      <c r="FD38" s="350"/>
      <c r="FE38" s="350"/>
      <c r="FF38" s="350"/>
      <c r="FG38" s="350"/>
      <c r="FH38" s="350"/>
      <c r="FI38" s="350"/>
      <c r="FJ38" s="350"/>
      <c r="FK38" s="350"/>
      <c r="FL38" s="350"/>
      <c r="FM38" s="350"/>
      <c r="FN38" s="350"/>
      <c r="FO38" s="350"/>
      <c r="FP38" s="350"/>
      <c r="FQ38" s="350"/>
      <c r="FR38" s="350"/>
      <c r="FS38" s="350"/>
      <c r="FT38" s="350"/>
      <c r="FU38" s="350"/>
      <c r="FV38" s="350"/>
      <c r="FW38" s="350"/>
      <c r="FX38" s="350"/>
      <c r="FY38" s="350"/>
      <c r="FZ38" s="350"/>
      <c r="GA38" s="350"/>
      <c r="GB38" s="350"/>
      <c r="GC38" s="350"/>
      <c r="GD38" s="350"/>
      <c r="GE38" s="350"/>
      <c r="GF38" s="350"/>
      <c r="GG38" s="350"/>
      <c r="GH38" s="350"/>
      <c r="GI38" s="350"/>
      <c r="GJ38" s="350"/>
      <c r="GK38" s="350"/>
      <c r="GL38" s="350"/>
      <c r="GM38" s="350"/>
      <c r="GN38" s="350"/>
      <c r="GO38" s="350"/>
      <c r="GP38" s="350"/>
      <c r="GQ38" s="350"/>
      <c r="GR38" s="350"/>
      <c r="GS38" s="350"/>
      <c r="GT38" s="350"/>
      <c r="GU38" s="350"/>
      <c r="GV38" s="350"/>
      <c r="GW38" s="350"/>
      <c r="GX38" s="350"/>
      <c r="GY38" s="350"/>
      <c r="GZ38" s="350"/>
      <c r="HA38" s="350"/>
      <c r="HB38" s="350"/>
      <c r="HC38" s="350"/>
      <c r="HD38" s="350"/>
      <c r="HE38" s="350"/>
      <c r="HF38" s="350"/>
      <c r="HG38" s="350"/>
      <c r="HH38" s="350"/>
      <c r="HI38" s="350"/>
      <c r="HJ38" s="350"/>
      <c r="HK38" s="350"/>
      <c r="HL38" s="350"/>
      <c r="HM38" s="350"/>
      <c r="HN38" s="350"/>
      <c r="HO38" s="350"/>
      <c r="HP38" s="350"/>
      <c r="HQ38" s="350"/>
      <c r="HR38" s="350"/>
      <c r="HS38" s="350"/>
      <c r="HT38" s="350"/>
      <c r="HU38" s="350"/>
    </row>
    <row r="39" spans="1:229" ht="17.5" x14ac:dyDescent="0.45">
      <c r="A39" s="269" t="s">
        <v>73</v>
      </c>
      <c r="B39" s="242">
        <v>13625</v>
      </c>
      <c r="C39" s="242">
        <v>2756</v>
      </c>
      <c r="D39" s="242">
        <v>3149</v>
      </c>
      <c r="E39" s="242">
        <v>19530</v>
      </c>
      <c r="F39" s="242">
        <v>12311</v>
      </c>
      <c r="G39" s="242">
        <v>1800</v>
      </c>
      <c r="H39" s="242">
        <v>3185</v>
      </c>
      <c r="I39" s="242">
        <v>1968</v>
      </c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50"/>
      <c r="AC39" s="350"/>
      <c r="AD39" s="350"/>
      <c r="AE39" s="350"/>
      <c r="AF39" s="350"/>
      <c r="AG39" s="350"/>
      <c r="AH39" s="350"/>
      <c r="AI39" s="350"/>
      <c r="AJ39" s="350"/>
      <c r="AK39" s="350"/>
      <c r="AL39" s="350"/>
      <c r="AM39" s="350"/>
      <c r="AN39" s="350"/>
      <c r="AO39" s="350"/>
      <c r="AP39" s="350"/>
      <c r="AQ39" s="350"/>
      <c r="AR39" s="350"/>
      <c r="AS39" s="350"/>
      <c r="AT39" s="350"/>
      <c r="AU39" s="350"/>
      <c r="AV39" s="350"/>
      <c r="AW39" s="350"/>
      <c r="AX39" s="350"/>
      <c r="AY39" s="350"/>
      <c r="AZ39" s="350"/>
      <c r="BA39" s="350"/>
      <c r="BB39" s="350"/>
      <c r="BC39" s="350"/>
      <c r="BD39" s="350"/>
      <c r="BE39" s="350"/>
      <c r="BF39" s="350"/>
      <c r="BG39" s="350"/>
      <c r="BH39" s="350"/>
      <c r="BI39" s="350"/>
      <c r="BJ39" s="350"/>
      <c r="BK39" s="350"/>
      <c r="BL39" s="350"/>
      <c r="BM39" s="350"/>
      <c r="BN39" s="350"/>
      <c r="BO39" s="350"/>
      <c r="BP39" s="350"/>
      <c r="BQ39" s="350"/>
      <c r="BR39" s="350"/>
      <c r="BS39" s="350"/>
      <c r="BT39" s="350"/>
      <c r="BU39" s="350"/>
      <c r="BV39" s="350"/>
      <c r="BW39" s="350"/>
      <c r="BX39" s="350"/>
      <c r="BY39" s="350"/>
      <c r="BZ39" s="350"/>
      <c r="CA39" s="350"/>
      <c r="CB39" s="350"/>
      <c r="CC39" s="350"/>
      <c r="CD39" s="350"/>
      <c r="CE39" s="350"/>
      <c r="CF39" s="350"/>
      <c r="CG39" s="350"/>
      <c r="CH39" s="350"/>
      <c r="CI39" s="350"/>
      <c r="CJ39" s="350"/>
      <c r="CK39" s="350"/>
      <c r="CL39" s="350"/>
      <c r="CM39" s="350"/>
      <c r="CN39" s="350"/>
      <c r="CO39" s="350"/>
      <c r="CP39" s="350"/>
      <c r="CQ39" s="350"/>
      <c r="CR39" s="350"/>
      <c r="CS39" s="350"/>
      <c r="CT39" s="350"/>
      <c r="CU39" s="350"/>
      <c r="CV39" s="350"/>
      <c r="CW39" s="350"/>
      <c r="CX39" s="350"/>
      <c r="CY39" s="350"/>
      <c r="CZ39" s="350"/>
      <c r="DA39" s="350"/>
      <c r="DB39" s="350"/>
      <c r="DC39" s="350"/>
      <c r="DD39" s="350"/>
      <c r="DE39" s="350"/>
      <c r="DF39" s="350"/>
      <c r="DG39" s="350"/>
      <c r="DH39" s="350"/>
      <c r="DI39" s="350"/>
      <c r="DJ39" s="350"/>
      <c r="DK39" s="350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  <c r="EU39" s="350"/>
      <c r="EV39" s="350"/>
      <c r="EW39" s="350"/>
      <c r="EX39" s="350"/>
      <c r="EY39" s="350"/>
      <c r="EZ39" s="350"/>
      <c r="FA39" s="350"/>
      <c r="FB39" s="350"/>
      <c r="FC39" s="350"/>
      <c r="FD39" s="350"/>
      <c r="FE39" s="350"/>
      <c r="FF39" s="350"/>
      <c r="FG39" s="350"/>
      <c r="FH39" s="350"/>
      <c r="FI39" s="350"/>
      <c r="FJ39" s="350"/>
      <c r="FK39" s="350"/>
      <c r="FL39" s="350"/>
      <c r="FM39" s="350"/>
      <c r="FN39" s="350"/>
      <c r="FO39" s="350"/>
      <c r="FP39" s="350"/>
      <c r="FQ39" s="350"/>
      <c r="FR39" s="350"/>
      <c r="FS39" s="350"/>
      <c r="FT39" s="350"/>
      <c r="FU39" s="350"/>
      <c r="FV39" s="350"/>
      <c r="FW39" s="350"/>
      <c r="FX39" s="350"/>
      <c r="FY39" s="350"/>
      <c r="FZ39" s="350"/>
      <c r="GA39" s="350"/>
      <c r="GB39" s="350"/>
      <c r="GC39" s="350"/>
      <c r="GD39" s="350"/>
      <c r="GE39" s="350"/>
      <c r="GF39" s="350"/>
      <c r="GG39" s="350"/>
      <c r="GH39" s="350"/>
      <c r="GI39" s="350"/>
      <c r="GJ39" s="350"/>
      <c r="GK39" s="350"/>
      <c r="GL39" s="350"/>
      <c r="GM39" s="350"/>
      <c r="GN39" s="350"/>
      <c r="GO39" s="350"/>
      <c r="GP39" s="350"/>
      <c r="GQ39" s="350"/>
      <c r="GR39" s="350"/>
      <c r="GS39" s="350"/>
      <c r="GT39" s="350"/>
      <c r="GU39" s="350"/>
      <c r="GV39" s="350"/>
      <c r="GW39" s="350"/>
      <c r="GX39" s="350"/>
      <c r="GY39" s="350"/>
      <c r="GZ39" s="350"/>
      <c r="HA39" s="350"/>
      <c r="HB39" s="350"/>
      <c r="HC39" s="350"/>
      <c r="HD39" s="350"/>
      <c r="HE39" s="350"/>
      <c r="HF39" s="350"/>
      <c r="HG39" s="350"/>
      <c r="HH39" s="350"/>
      <c r="HI39" s="350"/>
      <c r="HJ39" s="350"/>
      <c r="HK39" s="350"/>
      <c r="HL39" s="350"/>
      <c r="HM39" s="350"/>
      <c r="HN39" s="350"/>
      <c r="HO39" s="350"/>
      <c r="HP39" s="350"/>
      <c r="HQ39" s="350"/>
      <c r="HR39" s="350"/>
      <c r="HS39" s="350"/>
      <c r="HT39" s="350"/>
      <c r="HU39" s="350"/>
    </row>
    <row r="40" spans="1:229" ht="17.5" x14ac:dyDescent="0.45">
      <c r="A40" s="269" t="s">
        <v>74</v>
      </c>
      <c r="B40" s="242">
        <v>3401</v>
      </c>
      <c r="C40" s="242">
        <v>42</v>
      </c>
      <c r="D40" s="242">
        <v>1827</v>
      </c>
      <c r="E40" s="242">
        <v>5270</v>
      </c>
      <c r="F40" s="242">
        <v>588</v>
      </c>
      <c r="G40" s="243">
        <v>0</v>
      </c>
      <c r="H40" s="243">
        <v>0</v>
      </c>
      <c r="I40" s="243">
        <v>0</v>
      </c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50"/>
      <c r="AC40" s="350"/>
      <c r="AD40" s="350"/>
      <c r="AE40" s="350"/>
      <c r="AF40" s="350"/>
      <c r="AG40" s="350"/>
      <c r="AH40" s="350"/>
      <c r="AI40" s="350"/>
      <c r="AJ40" s="350"/>
      <c r="AK40" s="350"/>
      <c r="AL40" s="350"/>
      <c r="AM40" s="350"/>
      <c r="AN40" s="350"/>
      <c r="AO40" s="350"/>
      <c r="AP40" s="350"/>
      <c r="AQ40" s="350"/>
      <c r="AR40" s="350"/>
      <c r="AS40" s="350"/>
      <c r="AT40" s="350"/>
      <c r="AU40" s="350"/>
      <c r="AV40" s="350"/>
      <c r="AW40" s="350"/>
      <c r="AX40" s="350"/>
      <c r="AY40" s="350"/>
      <c r="AZ40" s="350"/>
      <c r="BA40" s="350"/>
      <c r="BB40" s="350"/>
      <c r="BC40" s="350"/>
      <c r="BD40" s="350"/>
      <c r="BE40" s="350"/>
      <c r="BF40" s="350"/>
      <c r="BG40" s="350"/>
      <c r="BH40" s="350"/>
      <c r="BI40" s="350"/>
      <c r="BJ40" s="350"/>
      <c r="BK40" s="350"/>
      <c r="BL40" s="350"/>
      <c r="BM40" s="350"/>
      <c r="BN40" s="350"/>
      <c r="BO40" s="350"/>
      <c r="BP40" s="350"/>
      <c r="BQ40" s="350"/>
      <c r="BR40" s="350"/>
      <c r="BS40" s="350"/>
      <c r="BT40" s="350"/>
      <c r="BU40" s="350"/>
      <c r="BV40" s="350"/>
      <c r="BW40" s="350"/>
      <c r="BX40" s="350"/>
      <c r="BY40" s="350"/>
      <c r="BZ40" s="350"/>
      <c r="CA40" s="350"/>
      <c r="CB40" s="350"/>
      <c r="CC40" s="350"/>
      <c r="CD40" s="350"/>
      <c r="CE40" s="350"/>
      <c r="CF40" s="350"/>
      <c r="CG40" s="350"/>
      <c r="CH40" s="350"/>
      <c r="CI40" s="350"/>
      <c r="CJ40" s="350"/>
      <c r="CK40" s="350"/>
      <c r="CL40" s="350"/>
      <c r="CM40" s="350"/>
      <c r="CN40" s="350"/>
      <c r="CO40" s="350"/>
      <c r="CP40" s="350"/>
      <c r="CQ40" s="350"/>
      <c r="CR40" s="350"/>
      <c r="CS40" s="350"/>
      <c r="CT40" s="350"/>
      <c r="CU40" s="350"/>
      <c r="CV40" s="350"/>
      <c r="CW40" s="350"/>
      <c r="CX40" s="350"/>
      <c r="CY40" s="350"/>
      <c r="CZ40" s="350"/>
      <c r="DA40" s="350"/>
      <c r="DB40" s="350"/>
      <c r="DC40" s="350"/>
      <c r="DD40" s="350"/>
      <c r="DE40" s="350"/>
      <c r="DF40" s="350"/>
      <c r="DG40" s="350"/>
      <c r="DH40" s="350"/>
      <c r="DI40" s="350"/>
      <c r="DJ40" s="350"/>
      <c r="DK40" s="350"/>
      <c r="DL40" s="350"/>
      <c r="DM40" s="350"/>
      <c r="DN40" s="350"/>
      <c r="DO40" s="350"/>
      <c r="DP40" s="350"/>
      <c r="DQ40" s="350"/>
      <c r="DR40" s="350"/>
      <c r="DS40" s="350"/>
      <c r="DT40" s="350"/>
      <c r="DU40" s="350"/>
      <c r="DV40" s="350"/>
      <c r="DW40" s="350"/>
      <c r="DX40" s="350"/>
      <c r="DY40" s="350"/>
      <c r="DZ40" s="350"/>
      <c r="EA40" s="350"/>
      <c r="EB40" s="350"/>
      <c r="EC40" s="350"/>
      <c r="ED40" s="350"/>
      <c r="EE40" s="350"/>
      <c r="EF40" s="350"/>
      <c r="EG40" s="350"/>
      <c r="EH40" s="350"/>
      <c r="EI40" s="350"/>
      <c r="EJ40" s="350"/>
      <c r="EK40" s="350"/>
      <c r="EL40" s="350"/>
      <c r="EM40" s="350"/>
      <c r="EN40" s="350"/>
      <c r="EO40" s="350"/>
      <c r="EP40" s="350"/>
      <c r="EQ40" s="350"/>
      <c r="ER40" s="350"/>
      <c r="ES40" s="350"/>
      <c r="ET40" s="350"/>
      <c r="EU40" s="350"/>
      <c r="EV40" s="350"/>
      <c r="EW40" s="350"/>
      <c r="EX40" s="350"/>
      <c r="EY40" s="350"/>
      <c r="EZ40" s="350"/>
      <c r="FA40" s="350"/>
      <c r="FB40" s="350"/>
      <c r="FC40" s="350"/>
      <c r="FD40" s="350"/>
      <c r="FE40" s="350"/>
      <c r="FF40" s="350"/>
      <c r="FG40" s="350"/>
      <c r="FH40" s="350"/>
      <c r="FI40" s="350"/>
      <c r="FJ40" s="350"/>
      <c r="FK40" s="350"/>
      <c r="FL40" s="350"/>
      <c r="FM40" s="350"/>
      <c r="FN40" s="350"/>
      <c r="FO40" s="350"/>
      <c r="FP40" s="350"/>
      <c r="FQ40" s="350"/>
      <c r="FR40" s="350"/>
      <c r="FS40" s="350"/>
      <c r="FT40" s="350"/>
      <c r="FU40" s="350"/>
      <c r="FV40" s="350"/>
      <c r="FW40" s="350"/>
      <c r="FX40" s="350"/>
      <c r="FY40" s="350"/>
      <c r="FZ40" s="350"/>
      <c r="GA40" s="350"/>
      <c r="GB40" s="350"/>
      <c r="GC40" s="350"/>
      <c r="GD40" s="350"/>
      <c r="GE40" s="350"/>
      <c r="GF40" s="350"/>
      <c r="GG40" s="350"/>
      <c r="GH40" s="350"/>
      <c r="GI40" s="350"/>
      <c r="GJ40" s="350"/>
      <c r="GK40" s="350"/>
      <c r="GL40" s="350"/>
      <c r="GM40" s="350"/>
      <c r="GN40" s="350"/>
      <c r="GO40" s="350"/>
      <c r="GP40" s="350"/>
      <c r="GQ40" s="350"/>
      <c r="GR40" s="350"/>
      <c r="GS40" s="350"/>
      <c r="GT40" s="350"/>
      <c r="GU40" s="350"/>
      <c r="GV40" s="350"/>
      <c r="GW40" s="350"/>
      <c r="GX40" s="350"/>
      <c r="GY40" s="350"/>
      <c r="GZ40" s="350"/>
      <c r="HA40" s="350"/>
      <c r="HB40" s="350"/>
      <c r="HC40" s="350"/>
      <c r="HD40" s="350"/>
      <c r="HE40" s="350"/>
      <c r="HF40" s="350"/>
      <c r="HG40" s="350"/>
      <c r="HH40" s="350"/>
      <c r="HI40" s="350"/>
      <c r="HJ40" s="350"/>
      <c r="HK40" s="350"/>
      <c r="HL40" s="350"/>
      <c r="HM40" s="350"/>
      <c r="HN40" s="350"/>
      <c r="HO40" s="350"/>
      <c r="HP40" s="350"/>
      <c r="HQ40" s="350"/>
      <c r="HR40" s="350"/>
      <c r="HS40" s="350"/>
      <c r="HT40" s="350"/>
      <c r="HU40" s="350"/>
    </row>
    <row r="41" spans="1:229" ht="17.5" x14ac:dyDescent="0.45">
      <c r="A41" s="269" t="s">
        <v>75</v>
      </c>
      <c r="B41" s="242">
        <v>501</v>
      </c>
      <c r="C41" s="243">
        <v>0</v>
      </c>
      <c r="D41" s="243">
        <v>0</v>
      </c>
      <c r="E41" s="242">
        <v>501</v>
      </c>
      <c r="F41" s="242">
        <v>941</v>
      </c>
      <c r="G41" s="243">
        <v>0</v>
      </c>
      <c r="H41" s="243">
        <v>0</v>
      </c>
      <c r="I41" s="243">
        <v>0</v>
      </c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50"/>
      <c r="AC41" s="350"/>
      <c r="AD41" s="350"/>
      <c r="AE41" s="350"/>
      <c r="AF41" s="350"/>
      <c r="AG41" s="350"/>
      <c r="AH41" s="350"/>
      <c r="AI41" s="350"/>
      <c r="AJ41" s="350"/>
      <c r="AK41" s="350"/>
      <c r="AL41" s="350"/>
      <c r="AM41" s="350"/>
      <c r="AN41" s="350"/>
      <c r="AO41" s="350"/>
      <c r="AP41" s="350"/>
      <c r="AQ41" s="350"/>
      <c r="AR41" s="350"/>
      <c r="AS41" s="350"/>
      <c r="AT41" s="350"/>
      <c r="AU41" s="350"/>
      <c r="AV41" s="350"/>
      <c r="AW41" s="350"/>
      <c r="AX41" s="350"/>
      <c r="AY41" s="350"/>
      <c r="AZ41" s="350"/>
      <c r="BA41" s="350"/>
      <c r="BB41" s="350"/>
      <c r="BC41" s="350"/>
      <c r="BD41" s="350"/>
      <c r="BE41" s="350"/>
      <c r="BF41" s="350"/>
      <c r="BG41" s="350"/>
      <c r="BH41" s="350"/>
      <c r="BI41" s="350"/>
      <c r="BJ41" s="350"/>
      <c r="BK41" s="350"/>
      <c r="BL41" s="350"/>
      <c r="BM41" s="350"/>
      <c r="BN41" s="350"/>
      <c r="BO41" s="350"/>
      <c r="BP41" s="350"/>
      <c r="BQ41" s="350"/>
      <c r="BR41" s="350"/>
      <c r="BS41" s="350"/>
      <c r="BT41" s="350"/>
      <c r="BU41" s="350"/>
      <c r="BV41" s="350"/>
      <c r="BW41" s="350"/>
      <c r="BX41" s="350"/>
      <c r="BY41" s="350"/>
      <c r="BZ41" s="350"/>
      <c r="CA41" s="350"/>
      <c r="CB41" s="350"/>
      <c r="CC41" s="350"/>
      <c r="CD41" s="350"/>
      <c r="CE41" s="350"/>
      <c r="CF41" s="350"/>
      <c r="CG41" s="350"/>
      <c r="CH41" s="350"/>
      <c r="CI41" s="350"/>
      <c r="CJ41" s="350"/>
      <c r="CK41" s="350"/>
      <c r="CL41" s="350"/>
      <c r="CM41" s="350"/>
      <c r="CN41" s="350"/>
      <c r="CO41" s="350"/>
      <c r="CP41" s="350"/>
      <c r="CQ41" s="350"/>
      <c r="CR41" s="350"/>
      <c r="CS41" s="350"/>
      <c r="CT41" s="350"/>
      <c r="CU41" s="350"/>
      <c r="CV41" s="350"/>
      <c r="CW41" s="350"/>
      <c r="CX41" s="350"/>
      <c r="CY41" s="350"/>
      <c r="CZ41" s="350"/>
      <c r="DA41" s="350"/>
      <c r="DB41" s="350"/>
      <c r="DC41" s="350"/>
      <c r="DD41" s="350"/>
      <c r="DE41" s="350"/>
      <c r="DF41" s="350"/>
      <c r="DG41" s="350"/>
      <c r="DH41" s="350"/>
      <c r="DI41" s="350"/>
      <c r="DJ41" s="350"/>
      <c r="DK41" s="350"/>
      <c r="DL41" s="350"/>
      <c r="DM41" s="350"/>
      <c r="DN41" s="350"/>
      <c r="DO41" s="350"/>
      <c r="DP41" s="350"/>
      <c r="DQ41" s="350"/>
      <c r="DR41" s="350"/>
      <c r="DS41" s="350"/>
      <c r="DT41" s="350"/>
      <c r="DU41" s="350"/>
      <c r="DV41" s="350"/>
      <c r="DW41" s="350"/>
      <c r="DX41" s="350"/>
      <c r="DY41" s="350"/>
      <c r="DZ41" s="350"/>
      <c r="EA41" s="350"/>
      <c r="EB41" s="350"/>
      <c r="EC41" s="350"/>
      <c r="ED41" s="350"/>
      <c r="EE41" s="350"/>
      <c r="EF41" s="350"/>
      <c r="EG41" s="350"/>
      <c r="EH41" s="350"/>
      <c r="EI41" s="350"/>
      <c r="EJ41" s="350"/>
      <c r="EK41" s="350"/>
      <c r="EL41" s="350"/>
      <c r="EM41" s="350"/>
      <c r="EN41" s="350"/>
      <c r="EO41" s="350"/>
      <c r="EP41" s="350"/>
      <c r="EQ41" s="350"/>
      <c r="ER41" s="350"/>
      <c r="ES41" s="350"/>
      <c r="ET41" s="350"/>
      <c r="EU41" s="350"/>
      <c r="EV41" s="350"/>
      <c r="EW41" s="350"/>
      <c r="EX41" s="350"/>
      <c r="EY41" s="350"/>
      <c r="EZ41" s="350"/>
      <c r="FA41" s="350"/>
      <c r="FB41" s="350"/>
      <c r="FC41" s="350"/>
      <c r="FD41" s="350"/>
      <c r="FE41" s="350"/>
      <c r="FF41" s="350"/>
      <c r="FG41" s="350"/>
      <c r="FH41" s="350"/>
      <c r="FI41" s="350"/>
      <c r="FJ41" s="350"/>
      <c r="FK41" s="350"/>
      <c r="FL41" s="350"/>
      <c r="FM41" s="350"/>
      <c r="FN41" s="350"/>
      <c r="FO41" s="350"/>
      <c r="FP41" s="350"/>
      <c r="FQ41" s="350"/>
      <c r="FR41" s="350"/>
      <c r="FS41" s="350"/>
      <c r="FT41" s="350"/>
      <c r="FU41" s="350"/>
      <c r="FV41" s="350"/>
      <c r="FW41" s="350"/>
      <c r="FX41" s="350"/>
      <c r="FY41" s="350"/>
      <c r="FZ41" s="350"/>
      <c r="GA41" s="350"/>
      <c r="GB41" s="350"/>
      <c r="GC41" s="350"/>
      <c r="GD41" s="350"/>
      <c r="GE41" s="350"/>
      <c r="GF41" s="350"/>
      <c r="GG41" s="350"/>
      <c r="GH41" s="350"/>
      <c r="GI41" s="350"/>
      <c r="GJ41" s="350"/>
      <c r="GK41" s="350"/>
      <c r="GL41" s="350"/>
      <c r="GM41" s="350"/>
      <c r="GN41" s="350"/>
      <c r="GO41" s="350"/>
      <c r="GP41" s="350"/>
      <c r="GQ41" s="350"/>
      <c r="GR41" s="350"/>
      <c r="GS41" s="350"/>
      <c r="GT41" s="350"/>
      <c r="GU41" s="350"/>
      <c r="GV41" s="350"/>
      <c r="GW41" s="350"/>
      <c r="GX41" s="350"/>
      <c r="GY41" s="350"/>
      <c r="GZ41" s="350"/>
      <c r="HA41" s="350"/>
      <c r="HB41" s="350"/>
      <c r="HC41" s="350"/>
      <c r="HD41" s="350"/>
      <c r="HE41" s="350"/>
      <c r="HF41" s="350"/>
      <c r="HG41" s="350"/>
      <c r="HH41" s="350"/>
      <c r="HI41" s="350"/>
      <c r="HJ41" s="350"/>
      <c r="HK41" s="350"/>
      <c r="HL41" s="350"/>
      <c r="HM41" s="350"/>
      <c r="HN41" s="350"/>
      <c r="HO41" s="350"/>
      <c r="HP41" s="350"/>
      <c r="HQ41" s="350"/>
      <c r="HR41" s="350"/>
      <c r="HS41" s="350"/>
      <c r="HT41" s="350"/>
      <c r="HU41" s="350"/>
    </row>
    <row r="42" spans="1:229" ht="17.5" x14ac:dyDescent="0.45">
      <c r="A42" s="269" t="s">
        <v>76</v>
      </c>
      <c r="B42" s="242">
        <v>7015</v>
      </c>
      <c r="C42" s="246">
        <v>256</v>
      </c>
      <c r="D42" s="246">
        <v>161</v>
      </c>
      <c r="E42" s="242">
        <v>7432</v>
      </c>
      <c r="F42" s="242">
        <v>2507</v>
      </c>
      <c r="G42" s="243">
        <v>0</v>
      </c>
      <c r="H42" s="243">
        <v>0</v>
      </c>
      <c r="I42" s="243">
        <v>0</v>
      </c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50"/>
      <c r="AC42" s="350"/>
      <c r="AD42" s="350"/>
      <c r="AE42" s="350"/>
      <c r="AF42" s="350"/>
      <c r="AG42" s="350"/>
      <c r="AH42" s="350"/>
      <c r="AI42" s="350"/>
      <c r="AJ42" s="350"/>
      <c r="AK42" s="350"/>
      <c r="AL42" s="350"/>
      <c r="AM42" s="350"/>
      <c r="AN42" s="350"/>
      <c r="AO42" s="350"/>
      <c r="AP42" s="350"/>
      <c r="AQ42" s="350"/>
      <c r="AR42" s="350"/>
      <c r="AS42" s="350"/>
      <c r="AT42" s="350"/>
      <c r="AU42" s="350"/>
      <c r="AV42" s="350"/>
      <c r="AW42" s="350"/>
      <c r="AX42" s="350"/>
      <c r="AY42" s="350"/>
      <c r="AZ42" s="350"/>
      <c r="BA42" s="350"/>
      <c r="BB42" s="350"/>
      <c r="BC42" s="350"/>
      <c r="BD42" s="350"/>
      <c r="BE42" s="350"/>
      <c r="BF42" s="350"/>
      <c r="BG42" s="350"/>
      <c r="BH42" s="350"/>
      <c r="BI42" s="350"/>
      <c r="BJ42" s="350"/>
      <c r="BK42" s="350"/>
      <c r="BL42" s="350"/>
      <c r="BM42" s="350"/>
      <c r="BN42" s="350"/>
      <c r="BO42" s="350"/>
      <c r="BP42" s="350"/>
      <c r="BQ42" s="350"/>
      <c r="BR42" s="350"/>
      <c r="BS42" s="350"/>
      <c r="BT42" s="350"/>
      <c r="BU42" s="350"/>
      <c r="BV42" s="350"/>
      <c r="BW42" s="350"/>
      <c r="BX42" s="350"/>
      <c r="BY42" s="350"/>
      <c r="BZ42" s="350"/>
      <c r="CA42" s="350"/>
      <c r="CB42" s="350"/>
      <c r="CC42" s="350"/>
      <c r="CD42" s="350"/>
      <c r="CE42" s="350"/>
      <c r="CF42" s="350"/>
      <c r="CG42" s="350"/>
      <c r="CH42" s="350"/>
      <c r="CI42" s="350"/>
      <c r="CJ42" s="350"/>
      <c r="CK42" s="350"/>
      <c r="CL42" s="350"/>
      <c r="CM42" s="350"/>
      <c r="CN42" s="350"/>
      <c r="CO42" s="350"/>
      <c r="CP42" s="350"/>
      <c r="CQ42" s="350"/>
      <c r="CR42" s="350"/>
      <c r="CS42" s="350"/>
      <c r="CT42" s="350"/>
      <c r="CU42" s="350"/>
      <c r="CV42" s="350"/>
      <c r="CW42" s="350"/>
      <c r="CX42" s="350"/>
      <c r="CY42" s="350"/>
      <c r="CZ42" s="350"/>
      <c r="DA42" s="350"/>
      <c r="DB42" s="350"/>
      <c r="DC42" s="350"/>
      <c r="DD42" s="350"/>
      <c r="DE42" s="350"/>
      <c r="DF42" s="350"/>
      <c r="DG42" s="350"/>
      <c r="DH42" s="350"/>
      <c r="DI42" s="350"/>
      <c r="DJ42" s="350"/>
      <c r="DK42" s="350"/>
      <c r="DL42" s="350"/>
      <c r="DM42" s="350"/>
      <c r="DN42" s="350"/>
      <c r="DO42" s="350"/>
      <c r="DP42" s="350"/>
      <c r="DQ42" s="350"/>
      <c r="DR42" s="350"/>
      <c r="DS42" s="350"/>
      <c r="DT42" s="350"/>
      <c r="DU42" s="350"/>
      <c r="DV42" s="350"/>
      <c r="DW42" s="350"/>
      <c r="DX42" s="350"/>
      <c r="DY42" s="350"/>
      <c r="DZ42" s="350"/>
      <c r="EA42" s="350"/>
      <c r="EB42" s="350"/>
      <c r="EC42" s="350"/>
      <c r="ED42" s="350"/>
      <c r="EE42" s="350"/>
      <c r="EF42" s="350"/>
      <c r="EG42" s="350"/>
      <c r="EH42" s="350"/>
      <c r="EI42" s="350"/>
      <c r="EJ42" s="350"/>
      <c r="EK42" s="350"/>
      <c r="EL42" s="350"/>
      <c r="EM42" s="350"/>
      <c r="EN42" s="350"/>
      <c r="EO42" s="350"/>
      <c r="EP42" s="350"/>
      <c r="EQ42" s="350"/>
      <c r="ER42" s="350"/>
      <c r="ES42" s="350"/>
      <c r="ET42" s="350"/>
      <c r="EU42" s="350"/>
      <c r="EV42" s="350"/>
      <c r="EW42" s="350"/>
      <c r="EX42" s="350"/>
      <c r="EY42" s="350"/>
      <c r="EZ42" s="350"/>
      <c r="FA42" s="350"/>
      <c r="FB42" s="350"/>
      <c r="FC42" s="350"/>
      <c r="FD42" s="350"/>
      <c r="FE42" s="350"/>
      <c r="FF42" s="350"/>
      <c r="FG42" s="350"/>
      <c r="FH42" s="350"/>
      <c r="FI42" s="350"/>
      <c r="FJ42" s="350"/>
      <c r="FK42" s="350"/>
      <c r="FL42" s="350"/>
      <c r="FM42" s="350"/>
      <c r="FN42" s="350"/>
      <c r="FO42" s="350"/>
      <c r="FP42" s="350"/>
      <c r="FQ42" s="350"/>
      <c r="FR42" s="350"/>
      <c r="FS42" s="350"/>
      <c r="FT42" s="350"/>
      <c r="FU42" s="350"/>
      <c r="FV42" s="350"/>
      <c r="FW42" s="350"/>
      <c r="FX42" s="350"/>
      <c r="FY42" s="350"/>
      <c r="FZ42" s="350"/>
      <c r="GA42" s="350"/>
      <c r="GB42" s="350"/>
      <c r="GC42" s="350"/>
      <c r="GD42" s="350"/>
      <c r="GE42" s="350"/>
      <c r="GF42" s="350"/>
      <c r="GG42" s="350"/>
      <c r="GH42" s="350"/>
      <c r="GI42" s="350"/>
      <c r="GJ42" s="350"/>
      <c r="GK42" s="350"/>
      <c r="GL42" s="350"/>
      <c r="GM42" s="350"/>
      <c r="GN42" s="350"/>
      <c r="GO42" s="350"/>
      <c r="GP42" s="350"/>
      <c r="GQ42" s="350"/>
      <c r="GR42" s="350"/>
      <c r="GS42" s="350"/>
      <c r="GT42" s="350"/>
      <c r="GU42" s="350"/>
      <c r="GV42" s="350"/>
      <c r="GW42" s="350"/>
      <c r="GX42" s="350"/>
      <c r="GY42" s="350"/>
      <c r="GZ42" s="350"/>
      <c r="HA42" s="350"/>
      <c r="HB42" s="350"/>
      <c r="HC42" s="350"/>
      <c r="HD42" s="350"/>
      <c r="HE42" s="350"/>
      <c r="HF42" s="350"/>
      <c r="HG42" s="350"/>
      <c r="HH42" s="350"/>
      <c r="HI42" s="350"/>
      <c r="HJ42" s="350"/>
      <c r="HK42" s="350"/>
      <c r="HL42" s="350"/>
      <c r="HM42" s="350"/>
      <c r="HN42" s="350"/>
      <c r="HO42" s="350"/>
      <c r="HP42" s="350"/>
      <c r="HQ42" s="350"/>
      <c r="HR42" s="350"/>
      <c r="HS42" s="350"/>
      <c r="HT42" s="350"/>
      <c r="HU42" s="350"/>
    </row>
    <row r="43" spans="1:229" ht="17.5" x14ac:dyDescent="0.45">
      <c r="A43" s="269" t="s">
        <v>77</v>
      </c>
      <c r="B43" s="242">
        <v>6792</v>
      </c>
      <c r="C43" s="246">
        <v>309</v>
      </c>
      <c r="D43" s="246">
        <v>102</v>
      </c>
      <c r="E43" s="242">
        <v>7203</v>
      </c>
      <c r="F43" s="242">
        <v>2778</v>
      </c>
      <c r="G43" s="246">
        <v>150</v>
      </c>
      <c r="H43" s="246">
        <v>150</v>
      </c>
      <c r="I43" s="243">
        <v>0</v>
      </c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50"/>
      <c r="AC43" s="350"/>
      <c r="AD43" s="350"/>
      <c r="AE43" s="350"/>
      <c r="AF43" s="350"/>
      <c r="AG43" s="350"/>
      <c r="AH43" s="350"/>
      <c r="AI43" s="350"/>
      <c r="AJ43" s="350"/>
      <c r="AK43" s="350"/>
      <c r="AL43" s="350"/>
      <c r="AM43" s="350"/>
      <c r="AN43" s="350"/>
      <c r="AO43" s="350"/>
      <c r="AP43" s="350"/>
      <c r="AQ43" s="350"/>
      <c r="AR43" s="350"/>
      <c r="AS43" s="350"/>
      <c r="AT43" s="350"/>
      <c r="AU43" s="350"/>
      <c r="AV43" s="350"/>
      <c r="AW43" s="350"/>
      <c r="AX43" s="350"/>
      <c r="AY43" s="350"/>
      <c r="AZ43" s="350"/>
      <c r="BA43" s="350"/>
      <c r="BB43" s="350"/>
      <c r="BC43" s="350"/>
      <c r="BD43" s="350"/>
      <c r="BE43" s="350"/>
      <c r="BF43" s="350"/>
      <c r="BG43" s="350"/>
      <c r="BH43" s="350"/>
      <c r="BI43" s="350"/>
      <c r="BJ43" s="350"/>
      <c r="BK43" s="350"/>
      <c r="BL43" s="350"/>
      <c r="BM43" s="350"/>
      <c r="BN43" s="350"/>
      <c r="BO43" s="350"/>
      <c r="BP43" s="350"/>
      <c r="BQ43" s="350"/>
      <c r="BR43" s="350"/>
      <c r="BS43" s="350"/>
      <c r="BT43" s="350"/>
      <c r="BU43" s="350"/>
      <c r="BV43" s="350"/>
      <c r="BW43" s="350"/>
      <c r="BX43" s="350"/>
      <c r="BY43" s="350"/>
      <c r="BZ43" s="350"/>
      <c r="CA43" s="350"/>
      <c r="CB43" s="350"/>
      <c r="CC43" s="350"/>
      <c r="CD43" s="350"/>
      <c r="CE43" s="350"/>
      <c r="CF43" s="350"/>
      <c r="CG43" s="350"/>
      <c r="CH43" s="350"/>
      <c r="CI43" s="350"/>
      <c r="CJ43" s="350"/>
      <c r="CK43" s="350"/>
      <c r="CL43" s="350"/>
      <c r="CM43" s="350"/>
      <c r="CN43" s="350"/>
      <c r="CO43" s="350"/>
      <c r="CP43" s="350"/>
      <c r="CQ43" s="350"/>
      <c r="CR43" s="350"/>
      <c r="CS43" s="350"/>
      <c r="CT43" s="350"/>
      <c r="CU43" s="350"/>
      <c r="CV43" s="350"/>
      <c r="CW43" s="350"/>
      <c r="CX43" s="350"/>
      <c r="CY43" s="350"/>
      <c r="CZ43" s="350"/>
      <c r="DA43" s="350"/>
      <c r="DB43" s="350"/>
      <c r="DC43" s="350"/>
      <c r="DD43" s="350"/>
      <c r="DE43" s="350"/>
      <c r="DF43" s="350"/>
      <c r="DG43" s="350"/>
      <c r="DH43" s="350"/>
      <c r="DI43" s="350"/>
      <c r="DJ43" s="350"/>
      <c r="DK43" s="350"/>
      <c r="DL43" s="350"/>
      <c r="DM43" s="350"/>
      <c r="DN43" s="350"/>
      <c r="DO43" s="350"/>
      <c r="DP43" s="350"/>
      <c r="DQ43" s="350"/>
      <c r="DR43" s="350"/>
      <c r="DS43" s="350"/>
      <c r="DT43" s="350"/>
      <c r="DU43" s="350"/>
      <c r="DV43" s="350"/>
      <c r="DW43" s="350"/>
      <c r="DX43" s="350"/>
      <c r="DY43" s="350"/>
      <c r="DZ43" s="350"/>
      <c r="EA43" s="350"/>
      <c r="EB43" s="350"/>
      <c r="EC43" s="350"/>
      <c r="ED43" s="350"/>
      <c r="EE43" s="350"/>
      <c r="EF43" s="350"/>
      <c r="EG43" s="350"/>
      <c r="EH43" s="350"/>
      <c r="EI43" s="350"/>
      <c r="EJ43" s="350"/>
      <c r="EK43" s="350"/>
      <c r="EL43" s="350"/>
      <c r="EM43" s="350"/>
      <c r="EN43" s="350"/>
      <c r="EO43" s="350"/>
      <c r="EP43" s="350"/>
      <c r="EQ43" s="350"/>
      <c r="ER43" s="350"/>
      <c r="ES43" s="350"/>
      <c r="ET43" s="350"/>
      <c r="EU43" s="350"/>
      <c r="EV43" s="350"/>
      <c r="EW43" s="350"/>
      <c r="EX43" s="350"/>
      <c r="EY43" s="350"/>
      <c r="EZ43" s="350"/>
      <c r="FA43" s="350"/>
      <c r="FB43" s="350"/>
      <c r="FC43" s="350"/>
      <c r="FD43" s="350"/>
      <c r="FE43" s="350"/>
      <c r="FF43" s="350"/>
      <c r="FG43" s="350"/>
      <c r="FH43" s="350"/>
      <c r="FI43" s="350"/>
      <c r="FJ43" s="350"/>
      <c r="FK43" s="350"/>
      <c r="FL43" s="350"/>
      <c r="FM43" s="350"/>
      <c r="FN43" s="350"/>
      <c r="FO43" s="350"/>
      <c r="FP43" s="350"/>
      <c r="FQ43" s="350"/>
      <c r="FR43" s="350"/>
      <c r="FS43" s="350"/>
      <c r="FT43" s="350"/>
      <c r="FU43" s="350"/>
      <c r="FV43" s="350"/>
      <c r="FW43" s="350"/>
      <c r="FX43" s="350"/>
      <c r="FY43" s="350"/>
      <c r="FZ43" s="350"/>
      <c r="GA43" s="350"/>
      <c r="GB43" s="350"/>
      <c r="GC43" s="350"/>
      <c r="GD43" s="350"/>
      <c r="GE43" s="350"/>
      <c r="GF43" s="350"/>
      <c r="GG43" s="350"/>
      <c r="GH43" s="350"/>
      <c r="GI43" s="350"/>
      <c r="GJ43" s="350"/>
      <c r="GK43" s="350"/>
      <c r="GL43" s="350"/>
      <c r="GM43" s="350"/>
      <c r="GN43" s="350"/>
      <c r="GO43" s="350"/>
      <c r="GP43" s="350"/>
      <c r="GQ43" s="350"/>
      <c r="GR43" s="350"/>
      <c r="GS43" s="350"/>
      <c r="GT43" s="350"/>
      <c r="GU43" s="350"/>
      <c r="GV43" s="350"/>
      <c r="GW43" s="350"/>
      <c r="GX43" s="350"/>
      <c r="GY43" s="350"/>
      <c r="GZ43" s="350"/>
      <c r="HA43" s="350"/>
      <c r="HB43" s="350"/>
      <c r="HC43" s="350"/>
      <c r="HD43" s="350"/>
      <c r="HE43" s="350"/>
      <c r="HF43" s="350"/>
      <c r="HG43" s="350"/>
      <c r="HH43" s="350"/>
      <c r="HI43" s="350"/>
      <c r="HJ43" s="350"/>
      <c r="HK43" s="350"/>
      <c r="HL43" s="350"/>
      <c r="HM43" s="350"/>
      <c r="HN43" s="350"/>
      <c r="HO43" s="350"/>
      <c r="HP43" s="350"/>
      <c r="HQ43" s="350"/>
      <c r="HR43" s="350"/>
      <c r="HS43" s="350"/>
      <c r="HT43" s="350"/>
      <c r="HU43" s="350"/>
    </row>
    <row r="44" spans="1:229" ht="17.5" x14ac:dyDescent="0.45">
      <c r="A44" s="269" t="s">
        <v>78</v>
      </c>
      <c r="B44" s="242">
        <v>7427</v>
      </c>
      <c r="C44" s="246">
        <v>537</v>
      </c>
      <c r="D44" s="246">
        <v>107</v>
      </c>
      <c r="E44" s="242">
        <v>8071</v>
      </c>
      <c r="F44" s="242">
        <v>2934</v>
      </c>
      <c r="G44" s="246">
        <v>784</v>
      </c>
      <c r="H44" s="246">
        <v>1337</v>
      </c>
      <c r="I44" s="246">
        <v>873</v>
      </c>
      <c r="J44" s="349"/>
      <c r="K44" s="349"/>
      <c r="L44" s="349"/>
      <c r="M44" s="349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  <c r="AA44" s="349"/>
      <c r="AB44" s="350"/>
      <c r="AC44" s="350"/>
      <c r="AD44" s="350"/>
      <c r="AE44" s="350"/>
      <c r="AF44" s="350"/>
      <c r="AG44" s="350"/>
      <c r="AH44" s="350"/>
      <c r="AI44" s="350"/>
      <c r="AJ44" s="350"/>
      <c r="AK44" s="350"/>
      <c r="AL44" s="350"/>
      <c r="AM44" s="350"/>
      <c r="AN44" s="350"/>
      <c r="AO44" s="350"/>
      <c r="AP44" s="350"/>
      <c r="AQ44" s="350"/>
      <c r="AR44" s="350"/>
      <c r="AS44" s="350"/>
      <c r="AT44" s="350"/>
      <c r="AU44" s="350"/>
      <c r="AV44" s="350"/>
      <c r="AW44" s="350"/>
      <c r="AX44" s="350"/>
      <c r="AY44" s="350"/>
      <c r="AZ44" s="350"/>
      <c r="BA44" s="350"/>
      <c r="BB44" s="350"/>
      <c r="BC44" s="350"/>
      <c r="BD44" s="350"/>
      <c r="BE44" s="350"/>
      <c r="BF44" s="350"/>
      <c r="BG44" s="350"/>
      <c r="BH44" s="350"/>
      <c r="BI44" s="350"/>
      <c r="BJ44" s="350"/>
      <c r="BK44" s="350"/>
      <c r="BL44" s="350"/>
      <c r="BM44" s="350"/>
      <c r="BN44" s="350"/>
      <c r="BO44" s="350"/>
      <c r="BP44" s="350"/>
      <c r="BQ44" s="350"/>
      <c r="BR44" s="350"/>
      <c r="BS44" s="350"/>
      <c r="BT44" s="350"/>
      <c r="BU44" s="350"/>
      <c r="BV44" s="350"/>
      <c r="BW44" s="350"/>
      <c r="BX44" s="350"/>
      <c r="BY44" s="350"/>
      <c r="BZ44" s="350"/>
      <c r="CA44" s="350"/>
      <c r="CB44" s="350"/>
      <c r="CC44" s="350"/>
      <c r="CD44" s="350"/>
      <c r="CE44" s="350"/>
      <c r="CF44" s="350"/>
      <c r="CG44" s="350"/>
      <c r="CH44" s="350"/>
      <c r="CI44" s="350"/>
      <c r="CJ44" s="350"/>
      <c r="CK44" s="350"/>
      <c r="CL44" s="350"/>
      <c r="CM44" s="350"/>
      <c r="CN44" s="350"/>
      <c r="CO44" s="350"/>
      <c r="CP44" s="350"/>
      <c r="CQ44" s="350"/>
      <c r="CR44" s="350"/>
      <c r="CS44" s="350"/>
      <c r="CT44" s="350"/>
      <c r="CU44" s="350"/>
      <c r="CV44" s="350"/>
      <c r="CW44" s="350"/>
      <c r="CX44" s="350"/>
      <c r="CY44" s="350"/>
      <c r="CZ44" s="350"/>
      <c r="DA44" s="350"/>
      <c r="DB44" s="350"/>
      <c r="DC44" s="350"/>
      <c r="DD44" s="350"/>
      <c r="DE44" s="350"/>
      <c r="DF44" s="350"/>
      <c r="DG44" s="350"/>
      <c r="DH44" s="350"/>
      <c r="DI44" s="350"/>
      <c r="DJ44" s="350"/>
      <c r="DK44" s="350"/>
      <c r="DL44" s="350"/>
      <c r="DM44" s="350"/>
      <c r="DN44" s="350"/>
      <c r="DO44" s="350"/>
      <c r="DP44" s="350"/>
      <c r="DQ44" s="350"/>
      <c r="DR44" s="350"/>
      <c r="DS44" s="350"/>
      <c r="DT44" s="350"/>
      <c r="DU44" s="350"/>
      <c r="DV44" s="350"/>
      <c r="DW44" s="350"/>
      <c r="DX44" s="350"/>
      <c r="DY44" s="350"/>
      <c r="DZ44" s="350"/>
      <c r="EA44" s="350"/>
      <c r="EB44" s="350"/>
      <c r="EC44" s="350"/>
      <c r="ED44" s="350"/>
      <c r="EE44" s="350"/>
      <c r="EF44" s="350"/>
      <c r="EG44" s="350"/>
      <c r="EH44" s="350"/>
      <c r="EI44" s="350"/>
      <c r="EJ44" s="350"/>
      <c r="EK44" s="350"/>
      <c r="EL44" s="350"/>
      <c r="EM44" s="350"/>
      <c r="EN44" s="350"/>
      <c r="EO44" s="350"/>
      <c r="EP44" s="350"/>
      <c r="EQ44" s="350"/>
      <c r="ER44" s="350"/>
      <c r="ES44" s="350"/>
      <c r="ET44" s="350"/>
      <c r="EU44" s="350"/>
      <c r="EV44" s="350"/>
      <c r="EW44" s="350"/>
      <c r="EX44" s="350"/>
      <c r="EY44" s="350"/>
      <c r="EZ44" s="350"/>
      <c r="FA44" s="350"/>
      <c r="FB44" s="350"/>
      <c r="FC44" s="350"/>
      <c r="FD44" s="350"/>
      <c r="FE44" s="350"/>
      <c r="FF44" s="350"/>
      <c r="FG44" s="350"/>
      <c r="FH44" s="350"/>
      <c r="FI44" s="350"/>
      <c r="FJ44" s="350"/>
      <c r="FK44" s="350"/>
      <c r="FL44" s="350"/>
      <c r="FM44" s="350"/>
      <c r="FN44" s="350"/>
      <c r="FO44" s="350"/>
      <c r="FP44" s="350"/>
      <c r="FQ44" s="350"/>
      <c r="FR44" s="350"/>
      <c r="FS44" s="350"/>
      <c r="FT44" s="350"/>
      <c r="FU44" s="350"/>
      <c r="FV44" s="350"/>
      <c r="FW44" s="350"/>
      <c r="FX44" s="350"/>
      <c r="FY44" s="350"/>
      <c r="FZ44" s="350"/>
      <c r="GA44" s="350"/>
      <c r="GB44" s="350"/>
      <c r="GC44" s="350"/>
      <c r="GD44" s="350"/>
      <c r="GE44" s="350"/>
      <c r="GF44" s="350"/>
      <c r="GG44" s="350"/>
      <c r="GH44" s="350"/>
      <c r="GI44" s="350"/>
      <c r="GJ44" s="350"/>
      <c r="GK44" s="350"/>
      <c r="GL44" s="350"/>
      <c r="GM44" s="350"/>
      <c r="GN44" s="350"/>
      <c r="GO44" s="350"/>
      <c r="GP44" s="350"/>
      <c r="GQ44" s="350"/>
      <c r="GR44" s="350"/>
      <c r="GS44" s="350"/>
      <c r="GT44" s="350"/>
      <c r="GU44" s="350"/>
      <c r="GV44" s="350"/>
      <c r="GW44" s="350"/>
      <c r="GX44" s="350"/>
      <c r="GY44" s="350"/>
      <c r="GZ44" s="350"/>
      <c r="HA44" s="350"/>
      <c r="HB44" s="350"/>
      <c r="HC44" s="350"/>
      <c r="HD44" s="350"/>
      <c r="HE44" s="350"/>
      <c r="HF44" s="350"/>
      <c r="HG44" s="350"/>
      <c r="HH44" s="350"/>
      <c r="HI44" s="350"/>
      <c r="HJ44" s="350"/>
      <c r="HK44" s="350"/>
      <c r="HL44" s="350"/>
      <c r="HM44" s="350"/>
      <c r="HN44" s="350"/>
      <c r="HO44" s="350"/>
      <c r="HP44" s="350"/>
      <c r="HQ44" s="350"/>
      <c r="HR44" s="350"/>
      <c r="HS44" s="350"/>
      <c r="HT44" s="350"/>
      <c r="HU44" s="350"/>
    </row>
    <row r="45" spans="1:229" ht="17.5" x14ac:dyDescent="0.45">
      <c r="A45" s="269" t="s">
        <v>79</v>
      </c>
      <c r="B45" s="242">
        <v>5414</v>
      </c>
      <c r="C45" s="246">
        <v>34</v>
      </c>
      <c r="D45" s="246">
        <v>113</v>
      </c>
      <c r="E45" s="242">
        <v>5561</v>
      </c>
      <c r="F45" s="242">
        <v>2104</v>
      </c>
      <c r="G45" s="246">
        <v>716</v>
      </c>
      <c r="H45" s="246">
        <v>1317</v>
      </c>
      <c r="I45" s="246">
        <v>800</v>
      </c>
      <c r="J45" s="349"/>
      <c r="K45" s="349"/>
      <c r="L45" s="349"/>
      <c r="M45" s="349"/>
      <c r="N45" s="349"/>
      <c r="O45" s="349"/>
      <c r="P45" s="349"/>
      <c r="Q45" s="349"/>
      <c r="R45" s="349"/>
      <c r="S45" s="349"/>
      <c r="T45" s="349"/>
      <c r="U45" s="349"/>
      <c r="V45" s="349"/>
      <c r="W45" s="349"/>
      <c r="X45" s="349"/>
      <c r="Y45" s="349"/>
      <c r="Z45" s="349"/>
      <c r="AA45" s="349"/>
      <c r="AB45" s="350"/>
      <c r="AC45" s="350"/>
      <c r="AD45" s="350"/>
      <c r="AE45" s="350"/>
      <c r="AF45" s="350"/>
      <c r="AG45" s="350"/>
      <c r="AH45" s="350"/>
      <c r="AI45" s="350"/>
      <c r="AJ45" s="350"/>
      <c r="AK45" s="350"/>
      <c r="AL45" s="350"/>
      <c r="AM45" s="350"/>
      <c r="AN45" s="350"/>
      <c r="AO45" s="350"/>
      <c r="AP45" s="350"/>
      <c r="AQ45" s="350"/>
      <c r="AR45" s="350"/>
      <c r="AS45" s="350"/>
      <c r="AT45" s="350"/>
      <c r="AU45" s="350"/>
      <c r="AV45" s="350"/>
      <c r="AW45" s="350"/>
      <c r="AX45" s="350"/>
      <c r="AY45" s="350"/>
      <c r="AZ45" s="350"/>
      <c r="BA45" s="350"/>
      <c r="BB45" s="350"/>
      <c r="BC45" s="350"/>
      <c r="BD45" s="350"/>
      <c r="BE45" s="350"/>
      <c r="BF45" s="350"/>
      <c r="BG45" s="350"/>
      <c r="BH45" s="350"/>
      <c r="BI45" s="350"/>
      <c r="BJ45" s="350"/>
      <c r="BK45" s="350"/>
      <c r="BL45" s="350"/>
      <c r="BM45" s="350"/>
      <c r="BN45" s="350"/>
      <c r="BO45" s="350"/>
      <c r="BP45" s="350"/>
      <c r="BQ45" s="350"/>
      <c r="BR45" s="350"/>
      <c r="BS45" s="350"/>
      <c r="BT45" s="350"/>
      <c r="BU45" s="350"/>
      <c r="BV45" s="350"/>
      <c r="BW45" s="350"/>
      <c r="BX45" s="350"/>
      <c r="BY45" s="350"/>
      <c r="BZ45" s="350"/>
      <c r="CA45" s="350"/>
      <c r="CB45" s="350"/>
      <c r="CC45" s="350"/>
      <c r="CD45" s="350"/>
      <c r="CE45" s="350"/>
      <c r="CF45" s="350"/>
      <c r="CG45" s="350"/>
      <c r="CH45" s="350"/>
      <c r="CI45" s="350"/>
      <c r="CJ45" s="350"/>
      <c r="CK45" s="350"/>
      <c r="CL45" s="350"/>
      <c r="CM45" s="350"/>
      <c r="CN45" s="350"/>
      <c r="CO45" s="350"/>
      <c r="CP45" s="350"/>
      <c r="CQ45" s="350"/>
      <c r="CR45" s="350"/>
      <c r="CS45" s="350"/>
      <c r="CT45" s="350"/>
      <c r="CU45" s="350"/>
      <c r="CV45" s="350"/>
      <c r="CW45" s="350"/>
      <c r="CX45" s="350"/>
      <c r="CY45" s="350"/>
      <c r="CZ45" s="350"/>
      <c r="DA45" s="350"/>
      <c r="DB45" s="350"/>
      <c r="DC45" s="350"/>
      <c r="DD45" s="350"/>
      <c r="DE45" s="350"/>
      <c r="DF45" s="350"/>
      <c r="DG45" s="350"/>
      <c r="DH45" s="350"/>
      <c r="DI45" s="350"/>
      <c r="DJ45" s="350"/>
      <c r="DK45" s="350"/>
      <c r="DL45" s="350"/>
      <c r="DM45" s="350"/>
      <c r="DN45" s="350"/>
      <c r="DO45" s="350"/>
      <c r="DP45" s="350"/>
      <c r="DQ45" s="350"/>
      <c r="DR45" s="350"/>
      <c r="DS45" s="350"/>
      <c r="DT45" s="350"/>
      <c r="DU45" s="350"/>
      <c r="DV45" s="350"/>
      <c r="DW45" s="350"/>
      <c r="DX45" s="350"/>
      <c r="DY45" s="350"/>
      <c r="DZ45" s="350"/>
      <c r="EA45" s="350"/>
      <c r="EB45" s="350"/>
      <c r="EC45" s="350"/>
      <c r="ED45" s="350"/>
      <c r="EE45" s="350"/>
      <c r="EF45" s="350"/>
      <c r="EG45" s="350"/>
      <c r="EH45" s="350"/>
      <c r="EI45" s="350"/>
      <c r="EJ45" s="350"/>
      <c r="EK45" s="350"/>
      <c r="EL45" s="350"/>
      <c r="EM45" s="350"/>
      <c r="EN45" s="350"/>
      <c r="EO45" s="350"/>
      <c r="EP45" s="350"/>
      <c r="EQ45" s="350"/>
      <c r="ER45" s="350"/>
      <c r="ES45" s="350"/>
      <c r="ET45" s="350"/>
      <c r="EU45" s="350"/>
      <c r="EV45" s="350"/>
      <c r="EW45" s="350"/>
      <c r="EX45" s="350"/>
      <c r="EY45" s="350"/>
      <c r="EZ45" s="350"/>
      <c r="FA45" s="350"/>
      <c r="FB45" s="350"/>
      <c r="FC45" s="350"/>
      <c r="FD45" s="350"/>
      <c r="FE45" s="350"/>
      <c r="FF45" s="350"/>
      <c r="FG45" s="350"/>
      <c r="FH45" s="350"/>
      <c r="FI45" s="350"/>
      <c r="FJ45" s="350"/>
      <c r="FK45" s="350"/>
      <c r="FL45" s="350"/>
      <c r="FM45" s="350"/>
      <c r="FN45" s="350"/>
      <c r="FO45" s="350"/>
      <c r="FP45" s="350"/>
      <c r="FQ45" s="350"/>
      <c r="FR45" s="350"/>
      <c r="FS45" s="350"/>
      <c r="FT45" s="350"/>
      <c r="FU45" s="350"/>
      <c r="FV45" s="350"/>
      <c r="FW45" s="350"/>
      <c r="FX45" s="350"/>
      <c r="FY45" s="350"/>
      <c r="FZ45" s="350"/>
      <c r="GA45" s="350"/>
      <c r="GB45" s="350"/>
      <c r="GC45" s="350"/>
      <c r="GD45" s="350"/>
      <c r="GE45" s="350"/>
      <c r="GF45" s="350"/>
      <c r="GG45" s="350"/>
      <c r="GH45" s="350"/>
      <c r="GI45" s="350"/>
      <c r="GJ45" s="350"/>
      <c r="GK45" s="350"/>
      <c r="GL45" s="350"/>
      <c r="GM45" s="350"/>
      <c r="GN45" s="350"/>
      <c r="GO45" s="350"/>
      <c r="GP45" s="350"/>
      <c r="GQ45" s="350"/>
      <c r="GR45" s="350"/>
      <c r="GS45" s="350"/>
      <c r="GT45" s="350"/>
      <c r="GU45" s="350"/>
      <c r="GV45" s="350"/>
      <c r="GW45" s="350"/>
      <c r="GX45" s="350"/>
      <c r="GY45" s="350"/>
      <c r="GZ45" s="350"/>
      <c r="HA45" s="350"/>
      <c r="HB45" s="350"/>
      <c r="HC45" s="350"/>
      <c r="HD45" s="350"/>
      <c r="HE45" s="350"/>
      <c r="HF45" s="350"/>
      <c r="HG45" s="350"/>
      <c r="HH45" s="350"/>
      <c r="HI45" s="350"/>
      <c r="HJ45" s="350"/>
      <c r="HK45" s="350"/>
      <c r="HL45" s="350"/>
      <c r="HM45" s="350"/>
      <c r="HN45" s="350"/>
      <c r="HO45" s="350"/>
      <c r="HP45" s="350"/>
      <c r="HQ45" s="350"/>
      <c r="HR45" s="350"/>
      <c r="HS45" s="350"/>
      <c r="HT45" s="350"/>
      <c r="HU45" s="350"/>
    </row>
    <row r="46" spans="1:229" ht="17.5" x14ac:dyDescent="0.45">
      <c r="A46" s="269" t="s">
        <v>80</v>
      </c>
      <c r="B46" s="242">
        <v>7656</v>
      </c>
      <c r="C46" s="246">
        <v>255</v>
      </c>
      <c r="D46" s="246">
        <v>125</v>
      </c>
      <c r="E46" s="242">
        <v>8036</v>
      </c>
      <c r="F46" s="242">
        <v>8063</v>
      </c>
      <c r="G46" s="246">
        <v>600</v>
      </c>
      <c r="H46" s="246">
        <v>0</v>
      </c>
      <c r="I46" s="246">
        <v>0</v>
      </c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350"/>
      <c r="AC46" s="350"/>
      <c r="AD46" s="350"/>
      <c r="AE46" s="350"/>
      <c r="AF46" s="350"/>
      <c r="AG46" s="350"/>
      <c r="AH46" s="350"/>
      <c r="AI46" s="350"/>
      <c r="AJ46" s="350"/>
      <c r="AK46" s="350"/>
      <c r="AL46" s="350"/>
      <c r="AM46" s="350"/>
      <c r="AN46" s="350"/>
      <c r="AO46" s="350"/>
      <c r="AP46" s="350"/>
      <c r="AQ46" s="350"/>
      <c r="AR46" s="350"/>
      <c r="AS46" s="350"/>
      <c r="AT46" s="350"/>
      <c r="AU46" s="350"/>
      <c r="AV46" s="350"/>
      <c r="AW46" s="350"/>
      <c r="AX46" s="350"/>
      <c r="AY46" s="350"/>
      <c r="AZ46" s="350"/>
      <c r="BA46" s="350"/>
      <c r="BB46" s="350"/>
      <c r="BC46" s="350"/>
      <c r="BD46" s="350"/>
      <c r="BE46" s="350"/>
      <c r="BF46" s="350"/>
      <c r="BG46" s="350"/>
      <c r="BH46" s="350"/>
      <c r="BI46" s="350"/>
      <c r="BJ46" s="350"/>
      <c r="BK46" s="350"/>
      <c r="BL46" s="350"/>
      <c r="BM46" s="350"/>
      <c r="BN46" s="350"/>
      <c r="BO46" s="350"/>
      <c r="BP46" s="350"/>
      <c r="BQ46" s="350"/>
      <c r="BR46" s="350"/>
      <c r="BS46" s="350"/>
      <c r="BT46" s="350"/>
      <c r="BU46" s="350"/>
      <c r="BV46" s="350"/>
      <c r="BW46" s="350"/>
      <c r="BX46" s="350"/>
      <c r="BY46" s="350"/>
      <c r="BZ46" s="350"/>
      <c r="CA46" s="350"/>
      <c r="CB46" s="350"/>
      <c r="CC46" s="350"/>
      <c r="CD46" s="350"/>
      <c r="CE46" s="350"/>
      <c r="CF46" s="350"/>
      <c r="CG46" s="350"/>
      <c r="CH46" s="350"/>
      <c r="CI46" s="350"/>
      <c r="CJ46" s="350"/>
      <c r="CK46" s="350"/>
      <c r="CL46" s="350"/>
      <c r="CM46" s="350"/>
      <c r="CN46" s="350"/>
      <c r="CO46" s="350"/>
      <c r="CP46" s="350"/>
      <c r="CQ46" s="350"/>
      <c r="CR46" s="350"/>
      <c r="CS46" s="350"/>
      <c r="CT46" s="350"/>
      <c r="CU46" s="350"/>
      <c r="CV46" s="350"/>
      <c r="CW46" s="350"/>
      <c r="CX46" s="350"/>
      <c r="CY46" s="350"/>
      <c r="CZ46" s="350"/>
      <c r="DA46" s="350"/>
      <c r="DB46" s="350"/>
      <c r="DC46" s="350"/>
      <c r="DD46" s="350"/>
      <c r="DE46" s="350"/>
      <c r="DF46" s="350"/>
      <c r="DG46" s="350"/>
      <c r="DH46" s="350"/>
      <c r="DI46" s="350"/>
      <c r="DJ46" s="350"/>
      <c r="DK46" s="350"/>
      <c r="DL46" s="350"/>
      <c r="DM46" s="350"/>
      <c r="DN46" s="350"/>
      <c r="DO46" s="350"/>
      <c r="DP46" s="350"/>
      <c r="DQ46" s="350"/>
      <c r="DR46" s="350"/>
      <c r="DS46" s="350"/>
      <c r="DT46" s="350"/>
      <c r="DU46" s="350"/>
      <c r="DV46" s="350"/>
      <c r="DW46" s="350"/>
      <c r="DX46" s="350"/>
      <c r="DY46" s="350"/>
      <c r="DZ46" s="350"/>
      <c r="EA46" s="350"/>
      <c r="EB46" s="350"/>
      <c r="EC46" s="350"/>
      <c r="ED46" s="350"/>
      <c r="EE46" s="350"/>
      <c r="EF46" s="350"/>
      <c r="EG46" s="350"/>
      <c r="EH46" s="350"/>
      <c r="EI46" s="350"/>
      <c r="EJ46" s="350"/>
      <c r="EK46" s="350"/>
      <c r="EL46" s="350"/>
      <c r="EM46" s="350"/>
      <c r="EN46" s="350"/>
      <c r="EO46" s="350"/>
      <c r="EP46" s="350"/>
      <c r="EQ46" s="350"/>
      <c r="ER46" s="350"/>
      <c r="ES46" s="350"/>
      <c r="ET46" s="350"/>
      <c r="EU46" s="350"/>
      <c r="EV46" s="350"/>
      <c r="EW46" s="350"/>
      <c r="EX46" s="350"/>
      <c r="EY46" s="350"/>
      <c r="EZ46" s="350"/>
      <c r="FA46" s="350"/>
      <c r="FB46" s="350"/>
      <c r="FC46" s="350"/>
      <c r="FD46" s="350"/>
      <c r="FE46" s="350"/>
      <c r="FF46" s="350"/>
      <c r="FG46" s="350"/>
      <c r="FH46" s="350"/>
      <c r="FI46" s="350"/>
      <c r="FJ46" s="350"/>
      <c r="FK46" s="350"/>
      <c r="FL46" s="350"/>
      <c r="FM46" s="350"/>
      <c r="FN46" s="350"/>
      <c r="FO46" s="350"/>
      <c r="FP46" s="350"/>
      <c r="FQ46" s="350"/>
      <c r="FR46" s="350"/>
      <c r="FS46" s="350"/>
      <c r="FT46" s="350"/>
      <c r="FU46" s="350"/>
      <c r="FV46" s="350"/>
      <c r="FW46" s="350"/>
      <c r="FX46" s="350"/>
      <c r="FY46" s="350"/>
      <c r="FZ46" s="350"/>
      <c r="GA46" s="350"/>
      <c r="GB46" s="350"/>
      <c r="GC46" s="350"/>
      <c r="GD46" s="350"/>
      <c r="GE46" s="350"/>
      <c r="GF46" s="350"/>
      <c r="GG46" s="350"/>
      <c r="GH46" s="350"/>
      <c r="GI46" s="350"/>
      <c r="GJ46" s="350"/>
      <c r="GK46" s="350"/>
      <c r="GL46" s="350"/>
      <c r="GM46" s="350"/>
      <c r="GN46" s="350"/>
      <c r="GO46" s="350"/>
      <c r="GP46" s="350"/>
      <c r="GQ46" s="350"/>
      <c r="GR46" s="350"/>
      <c r="GS46" s="350"/>
      <c r="GT46" s="350"/>
      <c r="GU46" s="350"/>
      <c r="GV46" s="350"/>
      <c r="GW46" s="350"/>
      <c r="GX46" s="350"/>
      <c r="GY46" s="350"/>
      <c r="GZ46" s="350"/>
      <c r="HA46" s="350"/>
      <c r="HB46" s="350"/>
      <c r="HC46" s="350"/>
      <c r="HD46" s="350"/>
      <c r="HE46" s="350"/>
      <c r="HF46" s="350"/>
      <c r="HG46" s="350"/>
      <c r="HH46" s="350"/>
      <c r="HI46" s="350"/>
      <c r="HJ46" s="350"/>
      <c r="HK46" s="350"/>
      <c r="HL46" s="350"/>
      <c r="HM46" s="350"/>
      <c r="HN46" s="350"/>
      <c r="HO46" s="350"/>
      <c r="HP46" s="350"/>
      <c r="HQ46" s="350"/>
      <c r="HR46" s="350"/>
      <c r="HS46" s="350"/>
      <c r="HT46" s="350"/>
      <c r="HU46" s="350"/>
    </row>
    <row r="47" spans="1:229" ht="17.5" x14ac:dyDescent="0.45">
      <c r="A47" s="269" t="s">
        <v>81</v>
      </c>
      <c r="B47" s="242">
        <v>1120</v>
      </c>
      <c r="C47" s="246">
        <v>19</v>
      </c>
      <c r="D47" s="246">
        <v>20</v>
      </c>
      <c r="E47" s="242">
        <v>1159</v>
      </c>
      <c r="F47" s="242">
        <v>634</v>
      </c>
      <c r="G47" s="246">
        <v>0</v>
      </c>
      <c r="H47" s="246">
        <v>0</v>
      </c>
      <c r="I47" s="246">
        <v>0</v>
      </c>
      <c r="J47" s="349"/>
      <c r="K47" s="349"/>
      <c r="L47" s="349"/>
      <c r="M47" s="349"/>
      <c r="N47" s="349"/>
      <c r="O47" s="349"/>
      <c r="P47" s="349"/>
      <c r="Q47" s="349"/>
      <c r="R47" s="349"/>
      <c r="S47" s="349"/>
      <c r="T47" s="349"/>
      <c r="U47" s="349"/>
      <c r="V47" s="349"/>
      <c r="W47" s="349"/>
      <c r="X47" s="349"/>
      <c r="Y47" s="349"/>
      <c r="Z47" s="349"/>
      <c r="AA47" s="349"/>
      <c r="AB47" s="350"/>
      <c r="AC47" s="350"/>
      <c r="AD47" s="350"/>
      <c r="AE47" s="350"/>
      <c r="AF47" s="350"/>
      <c r="AG47" s="350"/>
      <c r="AH47" s="350"/>
      <c r="AI47" s="350"/>
      <c r="AJ47" s="350"/>
      <c r="AK47" s="350"/>
      <c r="AL47" s="350"/>
      <c r="AM47" s="350"/>
      <c r="AN47" s="350"/>
      <c r="AO47" s="350"/>
      <c r="AP47" s="350"/>
      <c r="AQ47" s="350"/>
      <c r="AR47" s="350"/>
      <c r="AS47" s="350"/>
      <c r="AT47" s="350"/>
      <c r="AU47" s="350"/>
      <c r="AV47" s="350"/>
      <c r="AW47" s="350"/>
      <c r="AX47" s="350"/>
      <c r="AY47" s="350"/>
      <c r="AZ47" s="350"/>
      <c r="BA47" s="350"/>
      <c r="BB47" s="350"/>
      <c r="BC47" s="350"/>
      <c r="BD47" s="350"/>
      <c r="BE47" s="350"/>
      <c r="BF47" s="350"/>
      <c r="BG47" s="350"/>
      <c r="BH47" s="350"/>
      <c r="BI47" s="350"/>
      <c r="BJ47" s="350"/>
      <c r="BK47" s="350"/>
      <c r="BL47" s="350"/>
      <c r="BM47" s="350"/>
      <c r="BN47" s="350"/>
      <c r="BO47" s="350"/>
      <c r="BP47" s="350"/>
      <c r="BQ47" s="350"/>
      <c r="BR47" s="350"/>
      <c r="BS47" s="350"/>
      <c r="BT47" s="350"/>
      <c r="BU47" s="350"/>
      <c r="BV47" s="350"/>
      <c r="BW47" s="350"/>
      <c r="BX47" s="350"/>
      <c r="BY47" s="350"/>
      <c r="BZ47" s="350"/>
      <c r="CA47" s="350"/>
      <c r="CB47" s="350"/>
      <c r="CC47" s="350"/>
      <c r="CD47" s="350"/>
      <c r="CE47" s="350"/>
      <c r="CF47" s="350"/>
      <c r="CG47" s="350"/>
      <c r="CH47" s="350"/>
      <c r="CI47" s="350"/>
      <c r="CJ47" s="350"/>
      <c r="CK47" s="350"/>
      <c r="CL47" s="350"/>
      <c r="CM47" s="350"/>
      <c r="CN47" s="350"/>
      <c r="CO47" s="350"/>
      <c r="CP47" s="350"/>
      <c r="CQ47" s="350"/>
      <c r="CR47" s="350"/>
      <c r="CS47" s="350"/>
      <c r="CT47" s="350"/>
      <c r="CU47" s="350"/>
      <c r="CV47" s="350"/>
      <c r="CW47" s="350"/>
      <c r="CX47" s="350"/>
      <c r="CY47" s="350"/>
      <c r="CZ47" s="350"/>
      <c r="DA47" s="350"/>
      <c r="DB47" s="350"/>
      <c r="DC47" s="350"/>
      <c r="DD47" s="350"/>
      <c r="DE47" s="350"/>
      <c r="DF47" s="350"/>
      <c r="DG47" s="350"/>
      <c r="DH47" s="350"/>
      <c r="DI47" s="350"/>
      <c r="DJ47" s="350"/>
      <c r="DK47" s="350"/>
      <c r="DL47" s="350"/>
      <c r="DM47" s="350"/>
      <c r="DN47" s="350"/>
      <c r="DO47" s="350"/>
      <c r="DP47" s="350"/>
      <c r="DQ47" s="350"/>
      <c r="DR47" s="350"/>
      <c r="DS47" s="350"/>
      <c r="DT47" s="350"/>
      <c r="DU47" s="350"/>
      <c r="DV47" s="350"/>
      <c r="DW47" s="350"/>
      <c r="DX47" s="350"/>
      <c r="DY47" s="350"/>
      <c r="DZ47" s="350"/>
      <c r="EA47" s="350"/>
      <c r="EB47" s="350"/>
      <c r="EC47" s="350"/>
      <c r="ED47" s="350"/>
      <c r="EE47" s="350"/>
      <c r="EF47" s="350"/>
      <c r="EG47" s="350"/>
      <c r="EH47" s="350"/>
      <c r="EI47" s="350"/>
      <c r="EJ47" s="350"/>
      <c r="EK47" s="350"/>
      <c r="EL47" s="350"/>
      <c r="EM47" s="350"/>
      <c r="EN47" s="350"/>
      <c r="EO47" s="350"/>
      <c r="EP47" s="350"/>
      <c r="EQ47" s="350"/>
      <c r="ER47" s="350"/>
      <c r="ES47" s="350"/>
      <c r="ET47" s="350"/>
      <c r="EU47" s="350"/>
      <c r="EV47" s="350"/>
      <c r="EW47" s="350"/>
      <c r="EX47" s="350"/>
      <c r="EY47" s="350"/>
      <c r="EZ47" s="350"/>
      <c r="FA47" s="350"/>
      <c r="FB47" s="350"/>
      <c r="FC47" s="350"/>
      <c r="FD47" s="350"/>
      <c r="FE47" s="350"/>
      <c r="FF47" s="350"/>
      <c r="FG47" s="350"/>
      <c r="FH47" s="350"/>
      <c r="FI47" s="350"/>
      <c r="FJ47" s="350"/>
      <c r="FK47" s="350"/>
      <c r="FL47" s="350"/>
      <c r="FM47" s="350"/>
      <c r="FN47" s="350"/>
      <c r="FO47" s="350"/>
      <c r="FP47" s="350"/>
      <c r="FQ47" s="350"/>
      <c r="FR47" s="350"/>
      <c r="FS47" s="350"/>
      <c r="FT47" s="350"/>
      <c r="FU47" s="350"/>
      <c r="FV47" s="350"/>
      <c r="FW47" s="350"/>
      <c r="FX47" s="350"/>
      <c r="FY47" s="350"/>
      <c r="FZ47" s="350"/>
      <c r="GA47" s="350"/>
      <c r="GB47" s="350"/>
      <c r="GC47" s="350"/>
      <c r="GD47" s="350"/>
      <c r="GE47" s="350"/>
      <c r="GF47" s="350"/>
      <c r="GG47" s="350"/>
      <c r="GH47" s="350"/>
      <c r="GI47" s="350"/>
      <c r="GJ47" s="350"/>
      <c r="GK47" s="350"/>
      <c r="GL47" s="350"/>
      <c r="GM47" s="350"/>
      <c r="GN47" s="350"/>
      <c r="GO47" s="350"/>
      <c r="GP47" s="350"/>
      <c r="GQ47" s="350"/>
      <c r="GR47" s="350"/>
      <c r="GS47" s="350"/>
      <c r="GT47" s="350"/>
      <c r="GU47" s="350"/>
      <c r="GV47" s="350"/>
      <c r="GW47" s="350"/>
      <c r="GX47" s="350"/>
      <c r="GY47" s="350"/>
      <c r="GZ47" s="350"/>
      <c r="HA47" s="350"/>
      <c r="HB47" s="350"/>
      <c r="HC47" s="350"/>
      <c r="HD47" s="350"/>
      <c r="HE47" s="350"/>
      <c r="HF47" s="350"/>
      <c r="HG47" s="350"/>
      <c r="HH47" s="350"/>
      <c r="HI47" s="350"/>
      <c r="HJ47" s="350"/>
      <c r="HK47" s="350"/>
      <c r="HL47" s="350"/>
      <c r="HM47" s="350"/>
      <c r="HN47" s="350"/>
      <c r="HO47" s="350"/>
      <c r="HP47" s="350"/>
      <c r="HQ47" s="350"/>
      <c r="HR47" s="350"/>
      <c r="HS47" s="350"/>
      <c r="HT47" s="350"/>
      <c r="HU47" s="350"/>
    </row>
    <row r="48" spans="1:229" ht="17.5" x14ac:dyDescent="0.45">
      <c r="A48" s="269" t="s">
        <v>82</v>
      </c>
      <c r="B48" s="242">
        <v>5132.1428571428569</v>
      </c>
      <c r="C48" s="242">
        <v>201.42857142857142</v>
      </c>
      <c r="D48" s="242">
        <v>89.714285714285708</v>
      </c>
      <c r="E48" s="242">
        <v>5423.2857142857138</v>
      </c>
      <c r="F48" s="242">
        <v>2851.5714285714284</v>
      </c>
      <c r="G48" s="242">
        <v>321.42857142857144</v>
      </c>
      <c r="H48" s="242">
        <v>400.57142857142856</v>
      </c>
      <c r="I48" s="242">
        <v>239</v>
      </c>
      <c r="J48" s="349"/>
      <c r="K48" s="349"/>
      <c r="L48" s="349"/>
      <c r="M48" s="349"/>
      <c r="N48" s="349"/>
      <c r="O48" s="349"/>
      <c r="P48" s="349"/>
      <c r="Q48" s="349"/>
      <c r="R48" s="349"/>
      <c r="S48" s="349"/>
      <c r="T48" s="349"/>
      <c r="U48" s="349"/>
      <c r="V48" s="349"/>
      <c r="W48" s="349"/>
      <c r="X48" s="349"/>
      <c r="Y48" s="349"/>
      <c r="Z48" s="349"/>
      <c r="AA48" s="349"/>
      <c r="AB48" s="350"/>
      <c r="AC48" s="350"/>
      <c r="AD48" s="350"/>
      <c r="AE48" s="350"/>
      <c r="AF48" s="350"/>
      <c r="AG48" s="350"/>
      <c r="AH48" s="350"/>
      <c r="AI48" s="350"/>
      <c r="AJ48" s="350"/>
      <c r="AK48" s="350"/>
      <c r="AL48" s="350"/>
      <c r="AM48" s="350"/>
      <c r="AN48" s="350"/>
      <c r="AO48" s="350"/>
      <c r="AP48" s="350"/>
      <c r="AQ48" s="350"/>
      <c r="AR48" s="350"/>
      <c r="AS48" s="350"/>
      <c r="AT48" s="350"/>
      <c r="AU48" s="350"/>
      <c r="AV48" s="350"/>
      <c r="AW48" s="350"/>
      <c r="AX48" s="350"/>
      <c r="AY48" s="350"/>
      <c r="AZ48" s="350"/>
      <c r="BA48" s="350"/>
      <c r="BB48" s="350"/>
      <c r="BC48" s="350"/>
      <c r="BD48" s="350"/>
      <c r="BE48" s="350"/>
      <c r="BF48" s="350"/>
      <c r="BG48" s="350"/>
      <c r="BH48" s="350"/>
      <c r="BI48" s="350"/>
      <c r="BJ48" s="350"/>
      <c r="BK48" s="350"/>
      <c r="BL48" s="350"/>
      <c r="BM48" s="350"/>
      <c r="BN48" s="350"/>
      <c r="BO48" s="350"/>
      <c r="BP48" s="350"/>
      <c r="BQ48" s="350"/>
      <c r="BR48" s="350"/>
      <c r="BS48" s="350"/>
      <c r="BT48" s="350"/>
      <c r="BU48" s="350"/>
      <c r="BV48" s="350"/>
      <c r="BW48" s="350"/>
      <c r="BX48" s="350"/>
      <c r="BY48" s="350"/>
      <c r="BZ48" s="350"/>
      <c r="CA48" s="350"/>
      <c r="CB48" s="350"/>
      <c r="CC48" s="350"/>
      <c r="CD48" s="350"/>
      <c r="CE48" s="350"/>
      <c r="CF48" s="350"/>
      <c r="CG48" s="350"/>
      <c r="CH48" s="350"/>
      <c r="CI48" s="350"/>
      <c r="CJ48" s="350"/>
      <c r="CK48" s="350"/>
      <c r="CL48" s="350"/>
      <c r="CM48" s="350"/>
      <c r="CN48" s="350"/>
      <c r="CO48" s="350"/>
      <c r="CP48" s="350"/>
      <c r="CQ48" s="350"/>
      <c r="CR48" s="350"/>
      <c r="CS48" s="350"/>
      <c r="CT48" s="350"/>
      <c r="CU48" s="350"/>
      <c r="CV48" s="350"/>
      <c r="CW48" s="350"/>
      <c r="CX48" s="350"/>
      <c r="CY48" s="350"/>
      <c r="CZ48" s="350"/>
      <c r="DA48" s="350"/>
      <c r="DB48" s="350"/>
      <c r="DC48" s="350"/>
      <c r="DD48" s="350"/>
      <c r="DE48" s="350"/>
      <c r="DF48" s="350"/>
      <c r="DG48" s="350"/>
      <c r="DH48" s="350"/>
      <c r="DI48" s="350"/>
      <c r="DJ48" s="350"/>
      <c r="DK48" s="350"/>
      <c r="DL48" s="350"/>
      <c r="DM48" s="350"/>
      <c r="DN48" s="350"/>
      <c r="DO48" s="350"/>
      <c r="DP48" s="350"/>
      <c r="DQ48" s="350"/>
      <c r="DR48" s="350"/>
      <c r="DS48" s="350"/>
      <c r="DT48" s="350"/>
      <c r="DU48" s="350"/>
      <c r="DV48" s="350"/>
      <c r="DW48" s="350"/>
      <c r="DX48" s="350"/>
      <c r="DY48" s="350"/>
      <c r="DZ48" s="350"/>
      <c r="EA48" s="350"/>
      <c r="EB48" s="350"/>
      <c r="EC48" s="350"/>
      <c r="ED48" s="350"/>
      <c r="EE48" s="350"/>
      <c r="EF48" s="350"/>
      <c r="EG48" s="350"/>
      <c r="EH48" s="350"/>
      <c r="EI48" s="350"/>
      <c r="EJ48" s="350"/>
      <c r="EK48" s="350"/>
      <c r="EL48" s="350"/>
      <c r="EM48" s="350"/>
      <c r="EN48" s="350"/>
      <c r="EO48" s="350"/>
      <c r="EP48" s="350"/>
      <c r="EQ48" s="350"/>
      <c r="ER48" s="350"/>
      <c r="ES48" s="350"/>
      <c r="ET48" s="350"/>
      <c r="EU48" s="350"/>
      <c r="EV48" s="350"/>
      <c r="EW48" s="350"/>
      <c r="EX48" s="350"/>
      <c r="EY48" s="350"/>
      <c r="EZ48" s="350"/>
      <c r="FA48" s="350"/>
      <c r="FB48" s="350"/>
      <c r="FC48" s="350"/>
      <c r="FD48" s="350"/>
      <c r="FE48" s="350"/>
      <c r="FF48" s="350"/>
      <c r="FG48" s="350"/>
      <c r="FH48" s="350"/>
      <c r="FI48" s="350"/>
      <c r="FJ48" s="350"/>
      <c r="FK48" s="350"/>
      <c r="FL48" s="350"/>
      <c r="FM48" s="350"/>
      <c r="FN48" s="350"/>
      <c r="FO48" s="350"/>
      <c r="FP48" s="350"/>
      <c r="FQ48" s="350"/>
      <c r="FR48" s="350"/>
      <c r="FS48" s="350"/>
      <c r="FT48" s="350"/>
      <c r="FU48" s="350"/>
      <c r="FV48" s="350"/>
      <c r="FW48" s="350"/>
      <c r="FX48" s="350"/>
      <c r="FY48" s="350"/>
      <c r="FZ48" s="350"/>
      <c r="GA48" s="350"/>
      <c r="GB48" s="350"/>
      <c r="GC48" s="350"/>
      <c r="GD48" s="350"/>
      <c r="GE48" s="350"/>
      <c r="GF48" s="350"/>
      <c r="GG48" s="350"/>
      <c r="GH48" s="350"/>
      <c r="GI48" s="350"/>
      <c r="GJ48" s="350"/>
      <c r="GK48" s="350"/>
      <c r="GL48" s="350"/>
      <c r="GM48" s="350"/>
      <c r="GN48" s="350"/>
      <c r="GO48" s="350"/>
      <c r="GP48" s="350"/>
      <c r="GQ48" s="350"/>
      <c r="GR48" s="350"/>
      <c r="GS48" s="350"/>
      <c r="GT48" s="350"/>
      <c r="GU48" s="350"/>
      <c r="GV48" s="350"/>
      <c r="GW48" s="350"/>
      <c r="GX48" s="350"/>
      <c r="GY48" s="350"/>
      <c r="GZ48" s="350"/>
      <c r="HA48" s="350"/>
      <c r="HB48" s="350"/>
      <c r="HC48" s="350"/>
      <c r="HD48" s="350"/>
      <c r="HE48" s="350"/>
      <c r="HF48" s="350"/>
      <c r="HG48" s="350"/>
      <c r="HH48" s="350"/>
      <c r="HI48" s="350"/>
      <c r="HJ48" s="350"/>
      <c r="HK48" s="350"/>
      <c r="HL48" s="350"/>
      <c r="HM48" s="350"/>
      <c r="HN48" s="350"/>
      <c r="HO48" s="350"/>
      <c r="HP48" s="350"/>
      <c r="HQ48" s="350"/>
      <c r="HR48" s="350"/>
      <c r="HS48" s="350"/>
      <c r="HT48" s="350"/>
      <c r="HU48" s="350"/>
    </row>
    <row r="49" spans="1:229" ht="17.5" x14ac:dyDescent="0.45">
      <c r="A49" s="269" t="s">
        <v>83</v>
      </c>
      <c r="B49" s="242">
        <v>5132.1428571428569</v>
      </c>
      <c r="C49" s="242">
        <v>201.42857142857142</v>
      </c>
      <c r="D49" s="242">
        <v>89.714285714285708</v>
      </c>
      <c r="E49" s="242">
        <v>5423.2857142857138</v>
      </c>
      <c r="F49" s="242">
        <v>2851.5714285714284</v>
      </c>
      <c r="G49" s="242">
        <v>321.42857142857144</v>
      </c>
      <c r="H49" s="242">
        <v>400.57142857142856</v>
      </c>
      <c r="I49" s="242">
        <v>239</v>
      </c>
      <c r="J49" s="349"/>
      <c r="K49" s="349"/>
      <c r="L49" s="349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9"/>
      <c r="Z49" s="349"/>
      <c r="AA49" s="349"/>
      <c r="AB49" s="350"/>
      <c r="AC49" s="350"/>
      <c r="AD49" s="350"/>
      <c r="AE49" s="350"/>
      <c r="AF49" s="350"/>
      <c r="AG49" s="350"/>
      <c r="AH49" s="350"/>
      <c r="AI49" s="350"/>
      <c r="AJ49" s="350"/>
      <c r="AK49" s="350"/>
      <c r="AL49" s="350"/>
      <c r="AM49" s="350"/>
      <c r="AN49" s="350"/>
      <c r="AO49" s="350"/>
      <c r="AP49" s="350"/>
      <c r="AQ49" s="350"/>
      <c r="AR49" s="350"/>
      <c r="AS49" s="350"/>
      <c r="AT49" s="350"/>
      <c r="AU49" s="350"/>
      <c r="AV49" s="350"/>
      <c r="AW49" s="350"/>
      <c r="AX49" s="350"/>
      <c r="AY49" s="350"/>
      <c r="AZ49" s="350"/>
      <c r="BA49" s="350"/>
      <c r="BB49" s="350"/>
      <c r="BC49" s="350"/>
      <c r="BD49" s="350"/>
      <c r="BE49" s="350"/>
      <c r="BF49" s="350"/>
      <c r="BG49" s="350"/>
      <c r="BH49" s="350"/>
      <c r="BI49" s="350"/>
      <c r="BJ49" s="350"/>
      <c r="BK49" s="350"/>
      <c r="BL49" s="350"/>
      <c r="BM49" s="350"/>
      <c r="BN49" s="350"/>
      <c r="BO49" s="350"/>
      <c r="BP49" s="350"/>
      <c r="BQ49" s="350"/>
      <c r="BR49" s="350"/>
      <c r="BS49" s="350"/>
      <c r="BT49" s="350"/>
      <c r="BU49" s="350"/>
      <c r="BV49" s="350"/>
      <c r="BW49" s="350"/>
      <c r="BX49" s="350"/>
      <c r="BY49" s="350"/>
      <c r="BZ49" s="350"/>
      <c r="CA49" s="350"/>
      <c r="CB49" s="350"/>
      <c r="CC49" s="350"/>
      <c r="CD49" s="350"/>
      <c r="CE49" s="350"/>
      <c r="CF49" s="350"/>
      <c r="CG49" s="350"/>
      <c r="CH49" s="350"/>
      <c r="CI49" s="350"/>
      <c r="CJ49" s="350"/>
      <c r="CK49" s="350"/>
      <c r="CL49" s="350"/>
      <c r="CM49" s="350"/>
      <c r="CN49" s="350"/>
      <c r="CO49" s="350"/>
      <c r="CP49" s="350"/>
      <c r="CQ49" s="350"/>
      <c r="CR49" s="350"/>
      <c r="CS49" s="350"/>
      <c r="CT49" s="350"/>
      <c r="CU49" s="350"/>
      <c r="CV49" s="350"/>
      <c r="CW49" s="350"/>
      <c r="CX49" s="350"/>
      <c r="CY49" s="350"/>
      <c r="CZ49" s="350"/>
      <c r="DA49" s="350"/>
      <c r="DB49" s="350"/>
      <c r="DC49" s="350"/>
      <c r="DD49" s="350"/>
      <c r="DE49" s="350"/>
      <c r="DF49" s="350"/>
      <c r="DG49" s="350"/>
      <c r="DH49" s="350"/>
      <c r="DI49" s="350"/>
      <c r="DJ49" s="350"/>
      <c r="DK49" s="350"/>
      <c r="DL49" s="350"/>
      <c r="DM49" s="350"/>
      <c r="DN49" s="350"/>
      <c r="DO49" s="350"/>
      <c r="DP49" s="350"/>
      <c r="DQ49" s="350"/>
      <c r="DR49" s="350"/>
      <c r="DS49" s="350"/>
      <c r="DT49" s="350"/>
      <c r="DU49" s="350"/>
      <c r="DV49" s="350"/>
      <c r="DW49" s="350"/>
      <c r="DX49" s="350"/>
      <c r="DY49" s="350"/>
      <c r="DZ49" s="350"/>
      <c r="EA49" s="350"/>
      <c r="EB49" s="350"/>
      <c r="EC49" s="350"/>
      <c r="ED49" s="350"/>
      <c r="EE49" s="350"/>
      <c r="EF49" s="350"/>
      <c r="EG49" s="350"/>
      <c r="EH49" s="350"/>
      <c r="EI49" s="350"/>
      <c r="EJ49" s="350"/>
      <c r="EK49" s="350"/>
      <c r="EL49" s="350"/>
      <c r="EM49" s="350"/>
      <c r="EN49" s="350"/>
      <c r="EO49" s="350"/>
      <c r="EP49" s="350"/>
      <c r="EQ49" s="350"/>
      <c r="ER49" s="350"/>
      <c r="ES49" s="350"/>
      <c r="ET49" s="350"/>
      <c r="EU49" s="350"/>
      <c r="EV49" s="350"/>
      <c r="EW49" s="350"/>
      <c r="EX49" s="350"/>
      <c r="EY49" s="350"/>
      <c r="EZ49" s="350"/>
      <c r="FA49" s="350"/>
      <c r="FB49" s="350"/>
      <c r="FC49" s="350"/>
      <c r="FD49" s="350"/>
      <c r="FE49" s="350"/>
      <c r="FF49" s="350"/>
      <c r="FG49" s="350"/>
      <c r="FH49" s="350"/>
      <c r="FI49" s="350"/>
      <c r="FJ49" s="350"/>
      <c r="FK49" s="350"/>
      <c r="FL49" s="350"/>
      <c r="FM49" s="350"/>
      <c r="FN49" s="350"/>
      <c r="FO49" s="350"/>
      <c r="FP49" s="350"/>
      <c r="FQ49" s="350"/>
      <c r="FR49" s="350"/>
      <c r="FS49" s="350"/>
      <c r="FT49" s="350"/>
      <c r="FU49" s="350"/>
      <c r="FV49" s="350"/>
      <c r="FW49" s="350"/>
      <c r="FX49" s="350"/>
      <c r="FY49" s="350"/>
      <c r="FZ49" s="350"/>
      <c r="GA49" s="350"/>
      <c r="GB49" s="350"/>
      <c r="GC49" s="350"/>
      <c r="GD49" s="350"/>
      <c r="GE49" s="350"/>
      <c r="GF49" s="350"/>
      <c r="GG49" s="350"/>
      <c r="GH49" s="350"/>
      <c r="GI49" s="350"/>
      <c r="GJ49" s="350"/>
      <c r="GK49" s="350"/>
      <c r="GL49" s="350"/>
      <c r="GM49" s="350"/>
      <c r="GN49" s="350"/>
      <c r="GO49" s="350"/>
      <c r="GP49" s="350"/>
      <c r="GQ49" s="350"/>
      <c r="GR49" s="350"/>
      <c r="GS49" s="350"/>
      <c r="GT49" s="350"/>
      <c r="GU49" s="350"/>
      <c r="GV49" s="350"/>
      <c r="GW49" s="350"/>
      <c r="GX49" s="350"/>
      <c r="GY49" s="350"/>
      <c r="GZ49" s="350"/>
      <c r="HA49" s="350"/>
      <c r="HB49" s="350"/>
      <c r="HC49" s="350"/>
      <c r="HD49" s="350"/>
      <c r="HE49" s="350"/>
      <c r="HF49" s="350"/>
      <c r="HG49" s="350"/>
      <c r="HH49" s="350"/>
      <c r="HI49" s="350"/>
      <c r="HJ49" s="350"/>
      <c r="HK49" s="350"/>
      <c r="HL49" s="350"/>
      <c r="HM49" s="350"/>
      <c r="HN49" s="350"/>
      <c r="HO49" s="350"/>
      <c r="HP49" s="350"/>
      <c r="HQ49" s="350"/>
      <c r="HR49" s="350"/>
      <c r="HS49" s="350"/>
      <c r="HT49" s="350"/>
      <c r="HU49" s="350"/>
    </row>
    <row r="50" spans="1:229" ht="17.5" x14ac:dyDescent="0.45">
      <c r="A50" s="269" t="s">
        <v>84</v>
      </c>
      <c r="B50" s="242">
        <v>5132.1428571428569</v>
      </c>
      <c r="C50" s="242">
        <v>201.42857142857142</v>
      </c>
      <c r="D50" s="242">
        <v>89.714285714285708</v>
      </c>
      <c r="E50" s="242">
        <v>5423.2857142857138</v>
      </c>
      <c r="F50" s="242">
        <v>2851.5714285714284</v>
      </c>
      <c r="G50" s="242">
        <v>321.42857142857144</v>
      </c>
      <c r="H50" s="242">
        <v>400.57142857142856</v>
      </c>
      <c r="I50" s="242">
        <v>239</v>
      </c>
      <c r="J50" s="349"/>
      <c r="K50" s="349"/>
      <c r="L50" s="349"/>
      <c r="M50" s="349"/>
      <c r="N50" s="349"/>
      <c r="O50" s="349"/>
      <c r="P50" s="349"/>
      <c r="Q50" s="349"/>
      <c r="R50" s="349"/>
      <c r="S50" s="349"/>
      <c r="T50" s="349"/>
      <c r="U50" s="349"/>
      <c r="V50" s="349"/>
      <c r="W50" s="349"/>
      <c r="X50" s="349"/>
      <c r="Y50" s="349"/>
      <c r="Z50" s="349"/>
      <c r="AA50" s="349"/>
      <c r="AB50" s="350"/>
      <c r="AC50" s="350"/>
      <c r="AD50" s="350"/>
      <c r="AE50" s="350"/>
      <c r="AF50" s="350"/>
      <c r="AG50" s="350"/>
      <c r="AH50" s="350"/>
      <c r="AI50" s="350"/>
      <c r="AJ50" s="350"/>
      <c r="AK50" s="350"/>
      <c r="AL50" s="350"/>
      <c r="AM50" s="350"/>
      <c r="AN50" s="350"/>
      <c r="AO50" s="350"/>
      <c r="AP50" s="350"/>
      <c r="AQ50" s="350"/>
      <c r="AR50" s="350"/>
      <c r="AS50" s="350"/>
      <c r="AT50" s="350"/>
      <c r="AU50" s="350"/>
      <c r="AV50" s="350"/>
      <c r="AW50" s="350"/>
      <c r="AX50" s="350"/>
      <c r="AY50" s="350"/>
      <c r="AZ50" s="350"/>
      <c r="BA50" s="350"/>
      <c r="BB50" s="350"/>
      <c r="BC50" s="350"/>
      <c r="BD50" s="350"/>
      <c r="BE50" s="350"/>
      <c r="BF50" s="350"/>
      <c r="BG50" s="350"/>
      <c r="BH50" s="350"/>
      <c r="BI50" s="350"/>
      <c r="BJ50" s="350"/>
      <c r="BK50" s="350"/>
      <c r="BL50" s="350"/>
      <c r="BM50" s="350"/>
      <c r="BN50" s="350"/>
      <c r="BO50" s="350"/>
      <c r="BP50" s="350"/>
      <c r="BQ50" s="350"/>
      <c r="BR50" s="350"/>
      <c r="BS50" s="350"/>
      <c r="BT50" s="350"/>
      <c r="BU50" s="350"/>
      <c r="BV50" s="350"/>
      <c r="BW50" s="350"/>
      <c r="BX50" s="350"/>
      <c r="BY50" s="350"/>
      <c r="BZ50" s="350"/>
      <c r="CA50" s="350"/>
      <c r="CB50" s="350"/>
      <c r="CC50" s="350"/>
      <c r="CD50" s="350"/>
      <c r="CE50" s="350"/>
      <c r="CF50" s="350"/>
      <c r="CG50" s="350"/>
      <c r="CH50" s="350"/>
      <c r="CI50" s="350"/>
      <c r="CJ50" s="350"/>
      <c r="CK50" s="350"/>
      <c r="CL50" s="350"/>
      <c r="CM50" s="350"/>
      <c r="CN50" s="350"/>
      <c r="CO50" s="350"/>
      <c r="CP50" s="350"/>
      <c r="CQ50" s="350"/>
      <c r="CR50" s="350"/>
      <c r="CS50" s="350"/>
      <c r="CT50" s="350"/>
      <c r="CU50" s="350"/>
      <c r="CV50" s="350"/>
      <c r="CW50" s="350"/>
      <c r="CX50" s="350"/>
      <c r="CY50" s="350"/>
      <c r="CZ50" s="350"/>
      <c r="DA50" s="350"/>
      <c r="DB50" s="350"/>
      <c r="DC50" s="350"/>
      <c r="DD50" s="350"/>
      <c r="DE50" s="350"/>
      <c r="DF50" s="350"/>
      <c r="DG50" s="350"/>
      <c r="DH50" s="350"/>
      <c r="DI50" s="350"/>
      <c r="DJ50" s="350"/>
      <c r="DK50" s="350"/>
      <c r="DL50" s="350"/>
      <c r="DM50" s="350"/>
      <c r="DN50" s="350"/>
      <c r="DO50" s="350"/>
      <c r="DP50" s="350"/>
      <c r="DQ50" s="350"/>
      <c r="DR50" s="350"/>
      <c r="DS50" s="350"/>
      <c r="DT50" s="350"/>
      <c r="DU50" s="350"/>
      <c r="DV50" s="350"/>
      <c r="DW50" s="350"/>
      <c r="DX50" s="350"/>
      <c r="DY50" s="350"/>
      <c r="DZ50" s="350"/>
      <c r="EA50" s="350"/>
      <c r="EB50" s="350"/>
      <c r="EC50" s="350"/>
      <c r="ED50" s="350"/>
      <c r="EE50" s="350"/>
      <c r="EF50" s="350"/>
      <c r="EG50" s="350"/>
      <c r="EH50" s="350"/>
      <c r="EI50" s="350"/>
      <c r="EJ50" s="350"/>
      <c r="EK50" s="350"/>
      <c r="EL50" s="350"/>
      <c r="EM50" s="350"/>
      <c r="EN50" s="350"/>
      <c r="EO50" s="350"/>
      <c r="EP50" s="350"/>
      <c r="EQ50" s="350"/>
      <c r="ER50" s="350"/>
      <c r="ES50" s="350"/>
      <c r="ET50" s="350"/>
      <c r="EU50" s="350"/>
      <c r="EV50" s="350"/>
      <c r="EW50" s="350"/>
      <c r="EX50" s="350"/>
      <c r="EY50" s="350"/>
      <c r="EZ50" s="350"/>
      <c r="FA50" s="350"/>
      <c r="FB50" s="350"/>
      <c r="FC50" s="350"/>
      <c r="FD50" s="350"/>
      <c r="FE50" s="350"/>
      <c r="FF50" s="350"/>
      <c r="FG50" s="350"/>
      <c r="FH50" s="350"/>
      <c r="FI50" s="350"/>
      <c r="FJ50" s="350"/>
      <c r="FK50" s="350"/>
      <c r="FL50" s="350"/>
      <c r="FM50" s="350"/>
      <c r="FN50" s="350"/>
      <c r="FO50" s="350"/>
      <c r="FP50" s="350"/>
      <c r="FQ50" s="350"/>
      <c r="FR50" s="350"/>
      <c r="FS50" s="350"/>
      <c r="FT50" s="350"/>
      <c r="FU50" s="350"/>
      <c r="FV50" s="350"/>
      <c r="FW50" s="350"/>
      <c r="FX50" s="350"/>
      <c r="FY50" s="350"/>
      <c r="FZ50" s="350"/>
      <c r="GA50" s="350"/>
      <c r="GB50" s="350"/>
      <c r="GC50" s="350"/>
      <c r="GD50" s="350"/>
      <c r="GE50" s="350"/>
      <c r="GF50" s="350"/>
      <c r="GG50" s="350"/>
      <c r="GH50" s="350"/>
      <c r="GI50" s="350"/>
      <c r="GJ50" s="350"/>
      <c r="GK50" s="350"/>
      <c r="GL50" s="350"/>
      <c r="GM50" s="350"/>
      <c r="GN50" s="350"/>
      <c r="GO50" s="350"/>
      <c r="GP50" s="350"/>
      <c r="GQ50" s="350"/>
      <c r="GR50" s="350"/>
      <c r="GS50" s="350"/>
      <c r="GT50" s="350"/>
      <c r="GU50" s="350"/>
      <c r="GV50" s="350"/>
      <c r="GW50" s="350"/>
      <c r="GX50" s="350"/>
      <c r="GY50" s="350"/>
      <c r="GZ50" s="350"/>
      <c r="HA50" s="350"/>
      <c r="HB50" s="350"/>
      <c r="HC50" s="350"/>
      <c r="HD50" s="350"/>
      <c r="HE50" s="350"/>
      <c r="HF50" s="350"/>
      <c r="HG50" s="350"/>
      <c r="HH50" s="350"/>
      <c r="HI50" s="350"/>
      <c r="HJ50" s="350"/>
      <c r="HK50" s="350"/>
      <c r="HL50" s="350"/>
      <c r="HM50" s="350"/>
      <c r="HN50" s="350"/>
      <c r="HO50" s="350"/>
      <c r="HP50" s="350"/>
      <c r="HQ50" s="350"/>
      <c r="HR50" s="350"/>
      <c r="HS50" s="350"/>
      <c r="HT50" s="350"/>
      <c r="HU50" s="350"/>
    </row>
    <row r="51" spans="1:229" ht="17.5" x14ac:dyDescent="0.45">
      <c r="A51" s="269" t="s">
        <v>85</v>
      </c>
      <c r="B51" s="242">
        <v>5132.1428571428569</v>
      </c>
      <c r="C51" s="242">
        <v>201.42857142857142</v>
      </c>
      <c r="D51" s="242">
        <v>89.714285714285708</v>
      </c>
      <c r="E51" s="242">
        <v>5423.2857142857138</v>
      </c>
      <c r="F51" s="242">
        <v>2851.5714285714284</v>
      </c>
      <c r="G51" s="242">
        <v>321.42857142857144</v>
      </c>
      <c r="H51" s="242">
        <v>400.57142857142856</v>
      </c>
      <c r="I51" s="242">
        <v>239</v>
      </c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/>
      <c r="V51" s="349"/>
      <c r="W51" s="349"/>
      <c r="X51" s="349"/>
      <c r="Y51" s="349"/>
      <c r="Z51" s="349"/>
      <c r="AA51" s="349"/>
      <c r="AB51" s="350"/>
      <c r="AC51" s="350"/>
      <c r="AD51" s="350"/>
      <c r="AE51" s="350"/>
      <c r="AF51" s="350"/>
      <c r="AG51" s="350"/>
      <c r="AH51" s="350"/>
      <c r="AI51" s="350"/>
      <c r="AJ51" s="350"/>
      <c r="AK51" s="350"/>
      <c r="AL51" s="350"/>
      <c r="AM51" s="350"/>
      <c r="AN51" s="350"/>
      <c r="AO51" s="350"/>
      <c r="AP51" s="350"/>
      <c r="AQ51" s="350"/>
      <c r="AR51" s="350"/>
      <c r="AS51" s="350"/>
      <c r="AT51" s="350"/>
      <c r="AU51" s="350"/>
      <c r="AV51" s="350"/>
      <c r="AW51" s="350"/>
      <c r="AX51" s="350"/>
      <c r="AY51" s="350"/>
      <c r="AZ51" s="350"/>
      <c r="BA51" s="350"/>
      <c r="BB51" s="350"/>
      <c r="BC51" s="350"/>
      <c r="BD51" s="350"/>
      <c r="BE51" s="350"/>
      <c r="BF51" s="350"/>
      <c r="BG51" s="350"/>
      <c r="BH51" s="350"/>
      <c r="BI51" s="350"/>
      <c r="BJ51" s="350"/>
      <c r="BK51" s="350"/>
      <c r="BL51" s="350"/>
      <c r="BM51" s="350"/>
      <c r="BN51" s="350"/>
      <c r="BO51" s="350"/>
      <c r="BP51" s="350"/>
      <c r="BQ51" s="350"/>
      <c r="BR51" s="350"/>
      <c r="BS51" s="350"/>
      <c r="BT51" s="350"/>
      <c r="BU51" s="350"/>
      <c r="BV51" s="350"/>
      <c r="BW51" s="350"/>
      <c r="BX51" s="350"/>
      <c r="BY51" s="350"/>
      <c r="BZ51" s="350"/>
      <c r="CA51" s="350"/>
      <c r="CB51" s="350"/>
      <c r="CC51" s="350"/>
      <c r="CD51" s="350"/>
      <c r="CE51" s="350"/>
      <c r="CF51" s="350"/>
      <c r="CG51" s="350"/>
      <c r="CH51" s="350"/>
      <c r="CI51" s="350"/>
      <c r="CJ51" s="350"/>
      <c r="CK51" s="350"/>
      <c r="CL51" s="350"/>
      <c r="CM51" s="350"/>
      <c r="CN51" s="350"/>
      <c r="CO51" s="350"/>
      <c r="CP51" s="350"/>
      <c r="CQ51" s="350"/>
      <c r="CR51" s="350"/>
      <c r="CS51" s="350"/>
      <c r="CT51" s="350"/>
      <c r="CU51" s="350"/>
      <c r="CV51" s="350"/>
      <c r="CW51" s="350"/>
      <c r="CX51" s="350"/>
      <c r="CY51" s="350"/>
      <c r="CZ51" s="350"/>
      <c r="DA51" s="350"/>
      <c r="DB51" s="350"/>
      <c r="DC51" s="350"/>
      <c r="DD51" s="350"/>
      <c r="DE51" s="350"/>
      <c r="DF51" s="350"/>
      <c r="DG51" s="350"/>
      <c r="DH51" s="350"/>
      <c r="DI51" s="350"/>
      <c r="DJ51" s="350"/>
      <c r="DK51" s="350"/>
      <c r="DL51" s="350"/>
      <c r="DM51" s="350"/>
      <c r="DN51" s="350"/>
      <c r="DO51" s="350"/>
      <c r="DP51" s="350"/>
      <c r="DQ51" s="350"/>
      <c r="DR51" s="350"/>
      <c r="DS51" s="350"/>
      <c r="DT51" s="350"/>
      <c r="DU51" s="350"/>
      <c r="DV51" s="350"/>
      <c r="DW51" s="350"/>
      <c r="DX51" s="350"/>
      <c r="DY51" s="350"/>
      <c r="DZ51" s="350"/>
      <c r="EA51" s="350"/>
      <c r="EB51" s="350"/>
      <c r="EC51" s="350"/>
      <c r="ED51" s="350"/>
      <c r="EE51" s="350"/>
      <c r="EF51" s="350"/>
      <c r="EG51" s="350"/>
      <c r="EH51" s="350"/>
      <c r="EI51" s="350"/>
      <c r="EJ51" s="350"/>
      <c r="EK51" s="350"/>
      <c r="EL51" s="350"/>
      <c r="EM51" s="350"/>
      <c r="EN51" s="350"/>
      <c r="EO51" s="350"/>
      <c r="EP51" s="350"/>
      <c r="EQ51" s="350"/>
      <c r="ER51" s="350"/>
      <c r="ES51" s="350"/>
      <c r="ET51" s="350"/>
      <c r="EU51" s="350"/>
      <c r="EV51" s="350"/>
      <c r="EW51" s="350"/>
      <c r="EX51" s="350"/>
      <c r="EY51" s="350"/>
      <c r="EZ51" s="350"/>
      <c r="FA51" s="350"/>
      <c r="FB51" s="350"/>
      <c r="FC51" s="350"/>
      <c r="FD51" s="350"/>
      <c r="FE51" s="350"/>
      <c r="FF51" s="350"/>
      <c r="FG51" s="350"/>
      <c r="FH51" s="350"/>
      <c r="FI51" s="350"/>
      <c r="FJ51" s="350"/>
      <c r="FK51" s="350"/>
      <c r="FL51" s="350"/>
      <c r="FM51" s="350"/>
      <c r="FN51" s="350"/>
      <c r="FO51" s="350"/>
      <c r="FP51" s="350"/>
      <c r="FQ51" s="350"/>
      <c r="FR51" s="350"/>
      <c r="FS51" s="350"/>
      <c r="FT51" s="350"/>
      <c r="FU51" s="350"/>
      <c r="FV51" s="350"/>
      <c r="FW51" s="350"/>
      <c r="FX51" s="350"/>
      <c r="FY51" s="350"/>
      <c r="FZ51" s="350"/>
      <c r="GA51" s="350"/>
      <c r="GB51" s="350"/>
      <c r="GC51" s="350"/>
      <c r="GD51" s="350"/>
      <c r="GE51" s="350"/>
      <c r="GF51" s="350"/>
      <c r="GG51" s="350"/>
      <c r="GH51" s="350"/>
      <c r="GI51" s="350"/>
      <c r="GJ51" s="350"/>
      <c r="GK51" s="350"/>
      <c r="GL51" s="350"/>
      <c r="GM51" s="350"/>
      <c r="GN51" s="350"/>
      <c r="GO51" s="350"/>
      <c r="GP51" s="350"/>
      <c r="GQ51" s="350"/>
      <c r="GR51" s="350"/>
      <c r="GS51" s="350"/>
      <c r="GT51" s="350"/>
      <c r="GU51" s="350"/>
      <c r="GV51" s="350"/>
      <c r="GW51" s="350"/>
      <c r="GX51" s="350"/>
      <c r="GY51" s="350"/>
      <c r="GZ51" s="350"/>
      <c r="HA51" s="350"/>
      <c r="HB51" s="350"/>
      <c r="HC51" s="350"/>
      <c r="HD51" s="350"/>
      <c r="HE51" s="350"/>
      <c r="HF51" s="350"/>
      <c r="HG51" s="350"/>
      <c r="HH51" s="350"/>
      <c r="HI51" s="350"/>
      <c r="HJ51" s="350"/>
      <c r="HK51" s="350"/>
      <c r="HL51" s="350"/>
      <c r="HM51" s="350"/>
      <c r="HN51" s="350"/>
      <c r="HO51" s="350"/>
      <c r="HP51" s="350"/>
      <c r="HQ51" s="350"/>
      <c r="HR51" s="350"/>
      <c r="HS51" s="350"/>
      <c r="HT51" s="350"/>
      <c r="HU51" s="350"/>
    </row>
    <row r="52" spans="1:229" ht="17.5" x14ac:dyDescent="0.45">
      <c r="A52" s="269" t="s">
        <v>86</v>
      </c>
      <c r="B52" s="242">
        <v>5132.1428571428569</v>
      </c>
      <c r="C52" s="242">
        <v>201.42857142857142</v>
      </c>
      <c r="D52" s="242">
        <v>89.714285714285708</v>
      </c>
      <c r="E52" s="242">
        <v>5423.2857142857138</v>
      </c>
      <c r="F52" s="242">
        <v>2851.5714285714284</v>
      </c>
      <c r="G52" s="242">
        <v>321.42857142857144</v>
      </c>
      <c r="H52" s="242">
        <v>400.57142857142856</v>
      </c>
      <c r="I52" s="242">
        <v>239</v>
      </c>
      <c r="J52" s="349"/>
      <c r="K52" s="349"/>
      <c r="L52" s="349"/>
      <c r="M52" s="349"/>
      <c r="N52" s="349"/>
      <c r="O52" s="349"/>
      <c r="P52" s="349"/>
      <c r="Q52" s="349"/>
      <c r="R52" s="349"/>
      <c r="S52" s="349"/>
      <c r="T52" s="349"/>
      <c r="U52" s="349"/>
      <c r="V52" s="349"/>
      <c r="W52" s="349"/>
      <c r="X52" s="349"/>
      <c r="Y52" s="349"/>
      <c r="Z52" s="349"/>
      <c r="AA52" s="349"/>
      <c r="AB52" s="350"/>
      <c r="AC52" s="350"/>
      <c r="AD52" s="350"/>
      <c r="AE52" s="350"/>
      <c r="AF52" s="350"/>
      <c r="AG52" s="350"/>
      <c r="AH52" s="350"/>
      <c r="AI52" s="350"/>
      <c r="AJ52" s="350"/>
      <c r="AK52" s="350"/>
      <c r="AL52" s="350"/>
      <c r="AM52" s="350"/>
      <c r="AN52" s="350"/>
      <c r="AO52" s="350"/>
      <c r="AP52" s="350"/>
      <c r="AQ52" s="350"/>
      <c r="AR52" s="350"/>
      <c r="AS52" s="350"/>
      <c r="AT52" s="350"/>
      <c r="AU52" s="350"/>
      <c r="AV52" s="350"/>
      <c r="AW52" s="350"/>
      <c r="AX52" s="350"/>
      <c r="AY52" s="350"/>
      <c r="AZ52" s="350"/>
      <c r="BA52" s="350"/>
      <c r="BB52" s="350"/>
      <c r="BC52" s="350"/>
      <c r="BD52" s="350"/>
      <c r="BE52" s="350"/>
      <c r="BF52" s="350"/>
      <c r="BG52" s="350"/>
      <c r="BH52" s="350"/>
      <c r="BI52" s="350"/>
      <c r="BJ52" s="350"/>
      <c r="BK52" s="350"/>
      <c r="BL52" s="350"/>
      <c r="BM52" s="350"/>
      <c r="BN52" s="350"/>
      <c r="BO52" s="350"/>
      <c r="BP52" s="350"/>
      <c r="BQ52" s="350"/>
      <c r="BR52" s="350"/>
      <c r="BS52" s="350"/>
      <c r="BT52" s="350"/>
      <c r="BU52" s="350"/>
      <c r="BV52" s="350"/>
      <c r="BW52" s="350"/>
      <c r="BX52" s="350"/>
      <c r="BY52" s="350"/>
      <c r="BZ52" s="350"/>
      <c r="CA52" s="350"/>
      <c r="CB52" s="350"/>
      <c r="CC52" s="350"/>
      <c r="CD52" s="350"/>
      <c r="CE52" s="350"/>
      <c r="CF52" s="350"/>
      <c r="CG52" s="350"/>
      <c r="CH52" s="350"/>
      <c r="CI52" s="350"/>
      <c r="CJ52" s="350"/>
      <c r="CK52" s="350"/>
      <c r="CL52" s="350"/>
      <c r="CM52" s="350"/>
      <c r="CN52" s="350"/>
      <c r="CO52" s="350"/>
      <c r="CP52" s="350"/>
      <c r="CQ52" s="350"/>
      <c r="CR52" s="350"/>
      <c r="CS52" s="350"/>
      <c r="CT52" s="350"/>
      <c r="CU52" s="350"/>
      <c r="CV52" s="350"/>
      <c r="CW52" s="350"/>
      <c r="CX52" s="350"/>
      <c r="CY52" s="350"/>
      <c r="CZ52" s="350"/>
      <c r="DA52" s="350"/>
      <c r="DB52" s="350"/>
      <c r="DC52" s="350"/>
      <c r="DD52" s="350"/>
      <c r="DE52" s="350"/>
      <c r="DF52" s="350"/>
      <c r="DG52" s="350"/>
      <c r="DH52" s="350"/>
      <c r="DI52" s="350"/>
      <c r="DJ52" s="350"/>
      <c r="DK52" s="350"/>
      <c r="DL52" s="350"/>
      <c r="DM52" s="350"/>
      <c r="DN52" s="350"/>
      <c r="DO52" s="350"/>
      <c r="DP52" s="350"/>
      <c r="DQ52" s="350"/>
      <c r="DR52" s="350"/>
      <c r="DS52" s="350"/>
      <c r="DT52" s="350"/>
      <c r="DU52" s="350"/>
      <c r="DV52" s="350"/>
      <c r="DW52" s="350"/>
      <c r="DX52" s="350"/>
      <c r="DY52" s="350"/>
      <c r="DZ52" s="350"/>
      <c r="EA52" s="350"/>
      <c r="EB52" s="350"/>
      <c r="EC52" s="350"/>
      <c r="ED52" s="350"/>
      <c r="EE52" s="350"/>
      <c r="EF52" s="350"/>
      <c r="EG52" s="350"/>
      <c r="EH52" s="350"/>
      <c r="EI52" s="350"/>
      <c r="EJ52" s="350"/>
      <c r="EK52" s="350"/>
      <c r="EL52" s="350"/>
      <c r="EM52" s="350"/>
      <c r="EN52" s="350"/>
      <c r="EO52" s="350"/>
      <c r="EP52" s="350"/>
      <c r="EQ52" s="350"/>
      <c r="ER52" s="350"/>
      <c r="ES52" s="350"/>
      <c r="ET52" s="350"/>
      <c r="EU52" s="350"/>
      <c r="EV52" s="350"/>
      <c r="EW52" s="350"/>
      <c r="EX52" s="350"/>
      <c r="EY52" s="350"/>
      <c r="EZ52" s="350"/>
      <c r="FA52" s="350"/>
      <c r="FB52" s="350"/>
      <c r="FC52" s="350"/>
      <c r="FD52" s="350"/>
      <c r="FE52" s="350"/>
      <c r="FF52" s="350"/>
      <c r="FG52" s="350"/>
      <c r="FH52" s="350"/>
      <c r="FI52" s="350"/>
      <c r="FJ52" s="350"/>
      <c r="FK52" s="350"/>
      <c r="FL52" s="350"/>
      <c r="FM52" s="350"/>
      <c r="FN52" s="350"/>
      <c r="FO52" s="350"/>
      <c r="FP52" s="350"/>
      <c r="FQ52" s="350"/>
      <c r="FR52" s="350"/>
      <c r="FS52" s="350"/>
      <c r="FT52" s="350"/>
      <c r="FU52" s="350"/>
      <c r="FV52" s="350"/>
      <c r="FW52" s="350"/>
      <c r="FX52" s="350"/>
      <c r="FY52" s="350"/>
      <c r="FZ52" s="350"/>
      <c r="GA52" s="350"/>
      <c r="GB52" s="350"/>
      <c r="GC52" s="350"/>
      <c r="GD52" s="350"/>
      <c r="GE52" s="350"/>
      <c r="GF52" s="350"/>
      <c r="GG52" s="350"/>
      <c r="GH52" s="350"/>
      <c r="GI52" s="350"/>
      <c r="GJ52" s="350"/>
      <c r="GK52" s="350"/>
      <c r="GL52" s="350"/>
      <c r="GM52" s="350"/>
      <c r="GN52" s="350"/>
      <c r="GO52" s="350"/>
      <c r="GP52" s="350"/>
      <c r="GQ52" s="350"/>
      <c r="GR52" s="350"/>
      <c r="GS52" s="350"/>
      <c r="GT52" s="350"/>
      <c r="GU52" s="350"/>
      <c r="GV52" s="350"/>
      <c r="GW52" s="350"/>
      <c r="GX52" s="350"/>
      <c r="GY52" s="350"/>
      <c r="GZ52" s="350"/>
      <c r="HA52" s="350"/>
      <c r="HB52" s="350"/>
      <c r="HC52" s="350"/>
      <c r="HD52" s="350"/>
      <c r="HE52" s="350"/>
      <c r="HF52" s="350"/>
      <c r="HG52" s="350"/>
      <c r="HH52" s="350"/>
      <c r="HI52" s="350"/>
      <c r="HJ52" s="350"/>
      <c r="HK52" s="350"/>
      <c r="HL52" s="350"/>
      <c r="HM52" s="350"/>
      <c r="HN52" s="350"/>
      <c r="HO52" s="350"/>
      <c r="HP52" s="350"/>
      <c r="HQ52" s="350"/>
      <c r="HR52" s="350"/>
      <c r="HS52" s="350"/>
      <c r="HT52" s="350"/>
      <c r="HU52" s="350"/>
    </row>
    <row r="53" spans="1:229" ht="17.5" x14ac:dyDescent="0.45">
      <c r="A53" s="269" t="s">
        <v>87</v>
      </c>
      <c r="B53" s="242">
        <v>5132.1428571428569</v>
      </c>
      <c r="C53" s="242">
        <v>201.42857142857142</v>
      </c>
      <c r="D53" s="242">
        <v>89.714285714285708</v>
      </c>
      <c r="E53" s="242">
        <v>5423.2857142857138</v>
      </c>
      <c r="F53" s="242">
        <v>2851.5714285714284</v>
      </c>
      <c r="G53" s="242">
        <v>321.42857142857144</v>
      </c>
      <c r="H53" s="242">
        <v>400.57142857142856</v>
      </c>
      <c r="I53" s="242">
        <v>239</v>
      </c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/>
      <c r="V53" s="349"/>
      <c r="W53" s="349"/>
      <c r="X53" s="349"/>
      <c r="Y53" s="349"/>
      <c r="Z53" s="349"/>
      <c r="AA53" s="349"/>
      <c r="AB53" s="350"/>
      <c r="AC53" s="350"/>
      <c r="AD53" s="350"/>
      <c r="AE53" s="350"/>
      <c r="AF53" s="350"/>
      <c r="AG53" s="350"/>
      <c r="AH53" s="350"/>
      <c r="AI53" s="350"/>
      <c r="AJ53" s="350"/>
      <c r="AK53" s="350"/>
      <c r="AL53" s="350"/>
      <c r="AM53" s="350"/>
      <c r="AN53" s="350"/>
      <c r="AO53" s="350"/>
      <c r="AP53" s="350"/>
      <c r="AQ53" s="350"/>
      <c r="AR53" s="350"/>
      <c r="AS53" s="350"/>
      <c r="AT53" s="350"/>
      <c r="AU53" s="350"/>
      <c r="AV53" s="350"/>
      <c r="AW53" s="350"/>
      <c r="AX53" s="350"/>
      <c r="AY53" s="350"/>
      <c r="AZ53" s="350"/>
      <c r="BA53" s="350"/>
      <c r="BB53" s="350"/>
      <c r="BC53" s="350"/>
      <c r="BD53" s="350"/>
      <c r="BE53" s="350"/>
      <c r="BF53" s="350"/>
      <c r="BG53" s="350"/>
      <c r="BH53" s="350"/>
      <c r="BI53" s="350"/>
      <c r="BJ53" s="350"/>
      <c r="BK53" s="350"/>
      <c r="BL53" s="350"/>
      <c r="BM53" s="350"/>
      <c r="BN53" s="350"/>
      <c r="BO53" s="350"/>
      <c r="BP53" s="350"/>
      <c r="BQ53" s="350"/>
      <c r="BR53" s="350"/>
      <c r="BS53" s="350"/>
      <c r="BT53" s="350"/>
      <c r="BU53" s="350"/>
      <c r="BV53" s="350"/>
      <c r="BW53" s="350"/>
      <c r="BX53" s="350"/>
      <c r="BY53" s="350"/>
      <c r="BZ53" s="350"/>
      <c r="CA53" s="350"/>
      <c r="CB53" s="350"/>
      <c r="CC53" s="350"/>
      <c r="CD53" s="350"/>
      <c r="CE53" s="350"/>
      <c r="CF53" s="350"/>
      <c r="CG53" s="350"/>
      <c r="CH53" s="350"/>
      <c r="CI53" s="350"/>
      <c r="CJ53" s="350"/>
      <c r="CK53" s="350"/>
      <c r="CL53" s="350"/>
      <c r="CM53" s="350"/>
      <c r="CN53" s="350"/>
      <c r="CO53" s="350"/>
      <c r="CP53" s="350"/>
      <c r="CQ53" s="350"/>
      <c r="CR53" s="350"/>
      <c r="CS53" s="350"/>
      <c r="CT53" s="350"/>
      <c r="CU53" s="350"/>
      <c r="CV53" s="350"/>
      <c r="CW53" s="350"/>
      <c r="CX53" s="350"/>
      <c r="CY53" s="350"/>
      <c r="CZ53" s="350"/>
      <c r="DA53" s="350"/>
      <c r="DB53" s="350"/>
      <c r="DC53" s="350"/>
      <c r="DD53" s="350"/>
      <c r="DE53" s="350"/>
      <c r="DF53" s="350"/>
      <c r="DG53" s="350"/>
      <c r="DH53" s="350"/>
      <c r="DI53" s="350"/>
      <c r="DJ53" s="350"/>
      <c r="DK53" s="350"/>
      <c r="DL53" s="350"/>
      <c r="DM53" s="350"/>
      <c r="DN53" s="350"/>
      <c r="DO53" s="350"/>
      <c r="DP53" s="350"/>
      <c r="DQ53" s="350"/>
      <c r="DR53" s="350"/>
      <c r="DS53" s="350"/>
      <c r="DT53" s="350"/>
      <c r="DU53" s="350"/>
      <c r="DV53" s="350"/>
      <c r="DW53" s="350"/>
      <c r="DX53" s="350"/>
      <c r="DY53" s="350"/>
      <c r="DZ53" s="350"/>
      <c r="EA53" s="350"/>
      <c r="EB53" s="350"/>
      <c r="EC53" s="350"/>
      <c r="ED53" s="350"/>
      <c r="EE53" s="350"/>
      <c r="EF53" s="350"/>
      <c r="EG53" s="350"/>
      <c r="EH53" s="350"/>
      <c r="EI53" s="350"/>
      <c r="EJ53" s="350"/>
      <c r="EK53" s="350"/>
      <c r="EL53" s="350"/>
      <c r="EM53" s="350"/>
      <c r="EN53" s="350"/>
      <c r="EO53" s="350"/>
      <c r="EP53" s="350"/>
      <c r="EQ53" s="350"/>
      <c r="ER53" s="350"/>
      <c r="ES53" s="350"/>
      <c r="ET53" s="350"/>
      <c r="EU53" s="350"/>
      <c r="EV53" s="350"/>
      <c r="EW53" s="350"/>
      <c r="EX53" s="350"/>
      <c r="EY53" s="350"/>
      <c r="EZ53" s="350"/>
      <c r="FA53" s="350"/>
      <c r="FB53" s="350"/>
      <c r="FC53" s="350"/>
      <c r="FD53" s="350"/>
      <c r="FE53" s="350"/>
      <c r="FF53" s="350"/>
      <c r="FG53" s="350"/>
      <c r="FH53" s="350"/>
      <c r="FI53" s="350"/>
      <c r="FJ53" s="350"/>
      <c r="FK53" s="350"/>
      <c r="FL53" s="350"/>
      <c r="FM53" s="350"/>
      <c r="FN53" s="350"/>
      <c r="FO53" s="350"/>
      <c r="FP53" s="350"/>
      <c r="FQ53" s="350"/>
      <c r="FR53" s="350"/>
      <c r="FS53" s="350"/>
      <c r="FT53" s="350"/>
      <c r="FU53" s="350"/>
      <c r="FV53" s="350"/>
      <c r="FW53" s="350"/>
      <c r="FX53" s="350"/>
      <c r="FY53" s="350"/>
      <c r="FZ53" s="350"/>
      <c r="GA53" s="350"/>
      <c r="GB53" s="350"/>
      <c r="GC53" s="350"/>
      <c r="GD53" s="350"/>
      <c r="GE53" s="350"/>
      <c r="GF53" s="350"/>
      <c r="GG53" s="350"/>
      <c r="GH53" s="350"/>
      <c r="GI53" s="350"/>
      <c r="GJ53" s="350"/>
      <c r="GK53" s="350"/>
      <c r="GL53" s="350"/>
      <c r="GM53" s="350"/>
      <c r="GN53" s="350"/>
      <c r="GO53" s="350"/>
      <c r="GP53" s="350"/>
      <c r="GQ53" s="350"/>
      <c r="GR53" s="350"/>
      <c r="GS53" s="350"/>
      <c r="GT53" s="350"/>
      <c r="GU53" s="350"/>
      <c r="GV53" s="350"/>
      <c r="GW53" s="350"/>
      <c r="GX53" s="350"/>
      <c r="GY53" s="350"/>
      <c r="GZ53" s="350"/>
      <c r="HA53" s="350"/>
      <c r="HB53" s="350"/>
      <c r="HC53" s="350"/>
      <c r="HD53" s="350"/>
      <c r="HE53" s="350"/>
      <c r="HF53" s="350"/>
      <c r="HG53" s="350"/>
      <c r="HH53" s="350"/>
      <c r="HI53" s="350"/>
      <c r="HJ53" s="350"/>
      <c r="HK53" s="350"/>
      <c r="HL53" s="350"/>
      <c r="HM53" s="350"/>
      <c r="HN53" s="350"/>
      <c r="HO53" s="350"/>
      <c r="HP53" s="350"/>
      <c r="HQ53" s="350"/>
      <c r="HR53" s="350"/>
      <c r="HS53" s="350"/>
      <c r="HT53" s="350"/>
      <c r="HU53" s="350"/>
    </row>
    <row r="54" spans="1:229" ht="17.5" x14ac:dyDescent="0.45">
      <c r="A54" s="269" t="s">
        <v>88</v>
      </c>
      <c r="B54" s="242">
        <v>5132.1428571428569</v>
      </c>
      <c r="C54" s="242">
        <v>201.42857142857142</v>
      </c>
      <c r="D54" s="242">
        <v>89.714285714285708</v>
      </c>
      <c r="E54" s="242">
        <v>5423.2857142857138</v>
      </c>
      <c r="F54" s="242">
        <v>2851.5714285714284</v>
      </c>
      <c r="G54" s="242">
        <v>321.42857142857144</v>
      </c>
      <c r="H54" s="242">
        <v>400.57142857142856</v>
      </c>
      <c r="I54" s="242">
        <v>239</v>
      </c>
      <c r="J54" s="349"/>
      <c r="K54" s="349"/>
      <c r="L54" s="349"/>
      <c r="M54" s="349"/>
      <c r="N54" s="349"/>
      <c r="O54" s="349"/>
      <c r="P54" s="349"/>
      <c r="Q54" s="349"/>
      <c r="R54" s="349"/>
      <c r="S54" s="349"/>
      <c r="T54" s="349"/>
      <c r="U54" s="349"/>
      <c r="V54" s="349"/>
      <c r="W54" s="349"/>
      <c r="X54" s="349"/>
      <c r="Y54" s="349"/>
      <c r="Z54" s="349"/>
      <c r="AA54" s="349"/>
      <c r="AB54" s="350"/>
      <c r="AC54" s="350"/>
      <c r="AD54" s="350"/>
      <c r="AE54" s="350"/>
      <c r="AF54" s="350"/>
      <c r="AG54" s="350"/>
      <c r="AH54" s="350"/>
      <c r="AI54" s="350"/>
      <c r="AJ54" s="350"/>
      <c r="AK54" s="350"/>
      <c r="AL54" s="350"/>
      <c r="AM54" s="350"/>
      <c r="AN54" s="350"/>
      <c r="AO54" s="350"/>
      <c r="AP54" s="350"/>
      <c r="AQ54" s="350"/>
      <c r="AR54" s="350"/>
      <c r="AS54" s="350"/>
      <c r="AT54" s="350"/>
      <c r="AU54" s="350"/>
      <c r="AV54" s="350"/>
      <c r="AW54" s="350"/>
      <c r="AX54" s="350"/>
      <c r="AY54" s="350"/>
      <c r="AZ54" s="350"/>
      <c r="BA54" s="350"/>
      <c r="BB54" s="350"/>
      <c r="BC54" s="350"/>
      <c r="BD54" s="350"/>
      <c r="BE54" s="350"/>
      <c r="BF54" s="350"/>
      <c r="BG54" s="350"/>
      <c r="BH54" s="350"/>
      <c r="BI54" s="350"/>
      <c r="BJ54" s="350"/>
      <c r="BK54" s="350"/>
      <c r="BL54" s="350"/>
      <c r="BM54" s="350"/>
      <c r="BN54" s="350"/>
      <c r="BO54" s="350"/>
      <c r="BP54" s="350"/>
      <c r="BQ54" s="350"/>
      <c r="BR54" s="350"/>
      <c r="BS54" s="350"/>
      <c r="BT54" s="350"/>
      <c r="BU54" s="350"/>
      <c r="BV54" s="350"/>
      <c r="BW54" s="350"/>
      <c r="BX54" s="350"/>
      <c r="BY54" s="350"/>
      <c r="BZ54" s="350"/>
      <c r="CA54" s="350"/>
      <c r="CB54" s="350"/>
      <c r="CC54" s="350"/>
      <c r="CD54" s="350"/>
      <c r="CE54" s="350"/>
      <c r="CF54" s="350"/>
      <c r="CG54" s="350"/>
      <c r="CH54" s="350"/>
      <c r="CI54" s="350"/>
      <c r="CJ54" s="350"/>
      <c r="CK54" s="350"/>
      <c r="CL54" s="350"/>
      <c r="CM54" s="350"/>
      <c r="CN54" s="350"/>
      <c r="CO54" s="350"/>
      <c r="CP54" s="350"/>
      <c r="CQ54" s="350"/>
      <c r="CR54" s="350"/>
      <c r="CS54" s="350"/>
      <c r="CT54" s="350"/>
      <c r="CU54" s="350"/>
      <c r="CV54" s="350"/>
      <c r="CW54" s="350"/>
      <c r="CX54" s="350"/>
      <c r="CY54" s="350"/>
      <c r="CZ54" s="350"/>
      <c r="DA54" s="350"/>
      <c r="DB54" s="350"/>
      <c r="DC54" s="350"/>
      <c r="DD54" s="350"/>
      <c r="DE54" s="350"/>
      <c r="DF54" s="350"/>
      <c r="DG54" s="350"/>
      <c r="DH54" s="350"/>
      <c r="DI54" s="350"/>
      <c r="DJ54" s="350"/>
      <c r="DK54" s="350"/>
      <c r="DL54" s="350"/>
      <c r="DM54" s="350"/>
      <c r="DN54" s="350"/>
      <c r="DO54" s="350"/>
      <c r="DP54" s="350"/>
      <c r="DQ54" s="350"/>
      <c r="DR54" s="350"/>
      <c r="DS54" s="350"/>
      <c r="DT54" s="350"/>
      <c r="DU54" s="350"/>
      <c r="DV54" s="350"/>
      <c r="DW54" s="350"/>
      <c r="DX54" s="350"/>
      <c r="DY54" s="350"/>
      <c r="DZ54" s="350"/>
      <c r="EA54" s="350"/>
      <c r="EB54" s="350"/>
      <c r="EC54" s="350"/>
      <c r="ED54" s="350"/>
      <c r="EE54" s="350"/>
      <c r="EF54" s="350"/>
      <c r="EG54" s="350"/>
      <c r="EH54" s="350"/>
      <c r="EI54" s="350"/>
      <c r="EJ54" s="350"/>
      <c r="EK54" s="350"/>
      <c r="EL54" s="350"/>
      <c r="EM54" s="350"/>
      <c r="EN54" s="350"/>
      <c r="EO54" s="350"/>
      <c r="EP54" s="350"/>
      <c r="EQ54" s="350"/>
      <c r="ER54" s="350"/>
      <c r="ES54" s="350"/>
      <c r="ET54" s="350"/>
      <c r="EU54" s="350"/>
      <c r="EV54" s="350"/>
      <c r="EW54" s="350"/>
      <c r="EX54" s="350"/>
      <c r="EY54" s="350"/>
      <c r="EZ54" s="350"/>
      <c r="FA54" s="350"/>
      <c r="FB54" s="350"/>
      <c r="FC54" s="350"/>
      <c r="FD54" s="350"/>
      <c r="FE54" s="350"/>
      <c r="FF54" s="350"/>
      <c r="FG54" s="350"/>
      <c r="FH54" s="350"/>
      <c r="FI54" s="350"/>
      <c r="FJ54" s="350"/>
      <c r="FK54" s="350"/>
      <c r="FL54" s="350"/>
      <c r="FM54" s="350"/>
      <c r="FN54" s="350"/>
      <c r="FO54" s="350"/>
      <c r="FP54" s="350"/>
      <c r="FQ54" s="350"/>
      <c r="FR54" s="350"/>
      <c r="FS54" s="350"/>
      <c r="FT54" s="350"/>
      <c r="FU54" s="350"/>
      <c r="FV54" s="350"/>
      <c r="FW54" s="350"/>
      <c r="FX54" s="350"/>
      <c r="FY54" s="350"/>
      <c r="FZ54" s="350"/>
      <c r="GA54" s="350"/>
      <c r="GB54" s="350"/>
      <c r="GC54" s="350"/>
      <c r="GD54" s="350"/>
      <c r="GE54" s="350"/>
      <c r="GF54" s="350"/>
      <c r="GG54" s="350"/>
      <c r="GH54" s="350"/>
      <c r="GI54" s="350"/>
      <c r="GJ54" s="350"/>
      <c r="GK54" s="350"/>
      <c r="GL54" s="350"/>
      <c r="GM54" s="350"/>
      <c r="GN54" s="350"/>
      <c r="GO54" s="350"/>
      <c r="GP54" s="350"/>
      <c r="GQ54" s="350"/>
      <c r="GR54" s="350"/>
      <c r="GS54" s="350"/>
      <c r="GT54" s="350"/>
      <c r="GU54" s="350"/>
      <c r="GV54" s="350"/>
      <c r="GW54" s="350"/>
      <c r="GX54" s="350"/>
      <c r="GY54" s="350"/>
      <c r="GZ54" s="350"/>
      <c r="HA54" s="350"/>
      <c r="HB54" s="350"/>
      <c r="HC54" s="350"/>
      <c r="HD54" s="350"/>
      <c r="HE54" s="350"/>
      <c r="HF54" s="350"/>
      <c r="HG54" s="350"/>
      <c r="HH54" s="350"/>
      <c r="HI54" s="350"/>
      <c r="HJ54" s="350"/>
      <c r="HK54" s="350"/>
      <c r="HL54" s="350"/>
      <c r="HM54" s="350"/>
      <c r="HN54" s="350"/>
      <c r="HO54" s="350"/>
      <c r="HP54" s="350"/>
      <c r="HQ54" s="350"/>
      <c r="HR54" s="350"/>
      <c r="HS54" s="350"/>
      <c r="HT54" s="350"/>
      <c r="HU54" s="350"/>
    </row>
    <row r="55" spans="1:229" ht="17.5" x14ac:dyDescent="0.45">
      <c r="A55" s="269" t="s">
        <v>89</v>
      </c>
      <c r="B55" s="242">
        <v>5132.1428571428569</v>
      </c>
      <c r="C55" s="242">
        <v>201.42857142857142</v>
      </c>
      <c r="D55" s="242">
        <v>89.714285714285708</v>
      </c>
      <c r="E55" s="242">
        <v>5423.2857142857138</v>
      </c>
      <c r="F55" s="242">
        <v>2851.5714285714284</v>
      </c>
      <c r="G55" s="242">
        <v>321.42857142857144</v>
      </c>
      <c r="H55" s="242">
        <v>400.57142857142856</v>
      </c>
      <c r="I55" s="242">
        <v>239</v>
      </c>
      <c r="J55" s="349"/>
      <c r="K55" s="349"/>
      <c r="L55" s="349"/>
      <c r="M55" s="349"/>
      <c r="N55" s="349"/>
      <c r="O55" s="349"/>
      <c r="P55" s="349"/>
      <c r="Q55" s="349"/>
      <c r="R55" s="349"/>
      <c r="S55" s="349"/>
      <c r="T55" s="349"/>
      <c r="U55" s="349"/>
      <c r="V55" s="349"/>
      <c r="W55" s="349"/>
      <c r="X55" s="349"/>
      <c r="Y55" s="349"/>
      <c r="Z55" s="349"/>
      <c r="AA55" s="349"/>
      <c r="AB55" s="350"/>
      <c r="AC55" s="350"/>
      <c r="AD55" s="350"/>
      <c r="AE55" s="350"/>
      <c r="AF55" s="350"/>
      <c r="AG55" s="350"/>
      <c r="AH55" s="350"/>
      <c r="AI55" s="350"/>
      <c r="AJ55" s="350"/>
      <c r="AK55" s="350"/>
      <c r="AL55" s="350"/>
      <c r="AM55" s="350"/>
      <c r="AN55" s="350"/>
      <c r="AO55" s="350"/>
      <c r="AP55" s="350"/>
      <c r="AQ55" s="350"/>
      <c r="AR55" s="350"/>
      <c r="AS55" s="350"/>
      <c r="AT55" s="350"/>
      <c r="AU55" s="350"/>
      <c r="AV55" s="350"/>
      <c r="AW55" s="350"/>
      <c r="AX55" s="350"/>
      <c r="AY55" s="350"/>
      <c r="AZ55" s="350"/>
      <c r="BA55" s="350"/>
      <c r="BB55" s="350"/>
      <c r="BC55" s="350"/>
      <c r="BD55" s="350"/>
      <c r="BE55" s="350"/>
      <c r="BF55" s="350"/>
      <c r="BG55" s="350"/>
      <c r="BH55" s="350"/>
      <c r="BI55" s="350"/>
      <c r="BJ55" s="350"/>
      <c r="BK55" s="350"/>
      <c r="BL55" s="350"/>
      <c r="BM55" s="350"/>
      <c r="BN55" s="350"/>
      <c r="BO55" s="350"/>
      <c r="BP55" s="350"/>
      <c r="BQ55" s="350"/>
      <c r="BR55" s="350"/>
      <c r="BS55" s="350"/>
      <c r="BT55" s="350"/>
      <c r="BU55" s="350"/>
      <c r="BV55" s="350"/>
      <c r="BW55" s="350"/>
      <c r="BX55" s="350"/>
      <c r="BY55" s="350"/>
      <c r="BZ55" s="350"/>
      <c r="CA55" s="350"/>
      <c r="CB55" s="350"/>
      <c r="CC55" s="350"/>
      <c r="CD55" s="350"/>
      <c r="CE55" s="350"/>
      <c r="CF55" s="350"/>
      <c r="CG55" s="350"/>
      <c r="CH55" s="350"/>
      <c r="CI55" s="350"/>
      <c r="CJ55" s="350"/>
      <c r="CK55" s="350"/>
      <c r="CL55" s="350"/>
      <c r="CM55" s="350"/>
      <c r="CN55" s="350"/>
      <c r="CO55" s="350"/>
      <c r="CP55" s="350"/>
      <c r="CQ55" s="350"/>
      <c r="CR55" s="350"/>
      <c r="CS55" s="350"/>
      <c r="CT55" s="350"/>
      <c r="CU55" s="350"/>
      <c r="CV55" s="350"/>
      <c r="CW55" s="350"/>
      <c r="CX55" s="350"/>
      <c r="CY55" s="350"/>
      <c r="CZ55" s="350"/>
      <c r="DA55" s="350"/>
      <c r="DB55" s="350"/>
      <c r="DC55" s="350"/>
      <c r="DD55" s="350"/>
      <c r="DE55" s="350"/>
      <c r="DF55" s="350"/>
      <c r="DG55" s="350"/>
      <c r="DH55" s="350"/>
      <c r="DI55" s="350"/>
      <c r="DJ55" s="350"/>
      <c r="DK55" s="350"/>
      <c r="DL55" s="350"/>
      <c r="DM55" s="350"/>
      <c r="DN55" s="350"/>
      <c r="DO55" s="350"/>
      <c r="DP55" s="350"/>
      <c r="DQ55" s="350"/>
      <c r="DR55" s="350"/>
      <c r="DS55" s="350"/>
      <c r="DT55" s="350"/>
      <c r="DU55" s="350"/>
      <c r="DV55" s="350"/>
      <c r="DW55" s="350"/>
      <c r="DX55" s="350"/>
      <c r="DY55" s="350"/>
      <c r="DZ55" s="350"/>
      <c r="EA55" s="350"/>
      <c r="EB55" s="350"/>
      <c r="EC55" s="350"/>
      <c r="ED55" s="350"/>
      <c r="EE55" s="350"/>
      <c r="EF55" s="350"/>
      <c r="EG55" s="350"/>
      <c r="EH55" s="350"/>
      <c r="EI55" s="350"/>
      <c r="EJ55" s="350"/>
      <c r="EK55" s="350"/>
      <c r="EL55" s="350"/>
      <c r="EM55" s="350"/>
      <c r="EN55" s="350"/>
      <c r="EO55" s="350"/>
      <c r="EP55" s="350"/>
      <c r="EQ55" s="350"/>
      <c r="ER55" s="350"/>
      <c r="ES55" s="350"/>
      <c r="ET55" s="350"/>
      <c r="EU55" s="350"/>
      <c r="EV55" s="350"/>
      <c r="EW55" s="350"/>
      <c r="EX55" s="350"/>
      <c r="EY55" s="350"/>
      <c r="EZ55" s="350"/>
      <c r="FA55" s="350"/>
      <c r="FB55" s="350"/>
      <c r="FC55" s="350"/>
      <c r="FD55" s="350"/>
      <c r="FE55" s="350"/>
      <c r="FF55" s="350"/>
      <c r="FG55" s="350"/>
      <c r="FH55" s="350"/>
      <c r="FI55" s="350"/>
      <c r="FJ55" s="350"/>
      <c r="FK55" s="350"/>
      <c r="FL55" s="350"/>
      <c r="FM55" s="350"/>
      <c r="FN55" s="350"/>
      <c r="FO55" s="350"/>
      <c r="FP55" s="350"/>
      <c r="FQ55" s="350"/>
      <c r="FR55" s="350"/>
      <c r="FS55" s="350"/>
      <c r="FT55" s="350"/>
      <c r="FU55" s="350"/>
      <c r="FV55" s="350"/>
      <c r="FW55" s="350"/>
      <c r="FX55" s="350"/>
      <c r="FY55" s="350"/>
      <c r="FZ55" s="350"/>
      <c r="GA55" s="350"/>
      <c r="GB55" s="350"/>
      <c r="GC55" s="350"/>
      <c r="GD55" s="350"/>
      <c r="GE55" s="350"/>
      <c r="GF55" s="350"/>
      <c r="GG55" s="350"/>
      <c r="GH55" s="350"/>
      <c r="GI55" s="350"/>
      <c r="GJ55" s="350"/>
      <c r="GK55" s="350"/>
      <c r="GL55" s="350"/>
      <c r="GM55" s="350"/>
      <c r="GN55" s="350"/>
      <c r="GO55" s="350"/>
      <c r="GP55" s="350"/>
      <c r="GQ55" s="350"/>
      <c r="GR55" s="350"/>
      <c r="GS55" s="350"/>
      <c r="GT55" s="350"/>
      <c r="GU55" s="350"/>
      <c r="GV55" s="350"/>
      <c r="GW55" s="350"/>
      <c r="GX55" s="350"/>
      <c r="GY55" s="350"/>
      <c r="GZ55" s="350"/>
      <c r="HA55" s="350"/>
      <c r="HB55" s="350"/>
      <c r="HC55" s="350"/>
      <c r="HD55" s="350"/>
      <c r="HE55" s="350"/>
      <c r="HF55" s="350"/>
      <c r="HG55" s="350"/>
      <c r="HH55" s="350"/>
      <c r="HI55" s="350"/>
      <c r="HJ55" s="350"/>
      <c r="HK55" s="350"/>
      <c r="HL55" s="350"/>
      <c r="HM55" s="350"/>
      <c r="HN55" s="350"/>
      <c r="HO55" s="350"/>
      <c r="HP55" s="350"/>
      <c r="HQ55" s="350"/>
      <c r="HR55" s="350"/>
      <c r="HS55" s="350"/>
      <c r="HT55" s="350"/>
      <c r="HU55" s="350"/>
    </row>
    <row r="56" spans="1:229" ht="18" thickBot="1" x14ac:dyDescent="0.5">
      <c r="A56" s="269" t="s">
        <v>90</v>
      </c>
      <c r="B56" s="242">
        <v>5132.1428571428569</v>
      </c>
      <c r="C56" s="242">
        <v>201.42857142857142</v>
      </c>
      <c r="D56" s="242">
        <v>89.714285714285708</v>
      </c>
      <c r="E56" s="242">
        <v>5423.2857142857138</v>
      </c>
      <c r="F56" s="242">
        <v>2851.5714285714284</v>
      </c>
      <c r="G56" s="242">
        <v>321.42857142857144</v>
      </c>
      <c r="H56" s="242">
        <v>400.57142857142856</v>
      </c>
      <c r="I56" s="242">
        <v>239</v>
      </c>
      <c r="J56" s="349"/>
      <c r="K56" s="349"/>
      <c r="L56" s="349"/>
      <c r="M56" s="349"/>
      <c r="N56" s="349"/>
      <c r="O56" s="349"/>
      <c r="P56" s="349"/>
      <c r="Q56" s="349"/>
      <c r="R56" s="349"/>
      <c r="S56" s="349"/>
      <c r="T56" s="349"/>
      <c r="U56" s="349"/>
      <c r="V56" s="349"/>
      <c r="W56" s="349"/>
      <c r="X56" s="349"/>
      <c r="Y56" s="349"/>
      <c r="Z56" s="349"/>
      <c r="AA56" s="349"/>
      <c r="AB56" s="350"/>
      <c r="AC56" s="350"/>
      <c r="AD56" s="350"/>
      <c r="AE56" s="350"/>
      <c r="AF56" s="350"/>
      <c r="AG56" s="350"/>
      <c r="AH56" s="350"/>
      <c r="AI56" s="350"/>
      <c r="AJ56" s="350"/>
      <c r="AK56" s="350"/>
      <c r="AL56" s="350"/>
      <c r="AM56" s="350"/>
      <c r="AN56" s="350"/>
      <c r="AO56" s="350"/>
      <c r="AP56" s="350"/>
      <c r="AQ56" s="350"/>
      <c r="AR56" s="350"/>
      <c r="AS56" s="350"/>
      <c r="AT56" s="350"/>
      <c r="AU56" s="350"/>
      <c r="AV56" s="350"/>
      <c r="AW56" s="350"/>
      <c r="AX56" s="350"/>
      <c r="AY56" s="350"/>
      <c r="AZ56" s="350"/>
      <c r="BA56" s="350"/>
      <c r="BB56" s="350"/>
      <c r="BC56" s="350"/>
      <c r="BD56" s="350"/>
      <c r="BE56" s="350"/>
      <c r="BF56" s="350"/>
      <c r="BG56" s="350"/>
      <c r="BH56" s="350"/>
      <c r="BI56" s="350"/>
      <c r="BJ56" s="350"/>
      <c r="BK56" s="350"/>
      <c r="BL56" s="350"/>
      <c r="BM56" s="350"/>
      <c r="BN56" s="350"/>
      <c r="BO56" s="350"/>
      <c r="BP56" s="350"/>
      <c r="BQ56" s="350"/>
      <c r="BR56" s="350"/>
      <c r="BS56" s="350"/>
      <c r="BT56" s="350"/>
      <c r="BU56" s="350"/>
      <c r="BV56" s="350"/>
      <c r="BW56" s="350"/>
      <c r="BX56" s="350"/>
      <c r="BY56" s="350"/>
      <c r="BZ56" s="350"/>
      <c r="CA56" s="350"/>
      <c r="CB56" s="350"/>
      <c r="CC56" s="350"/>
      <c r="CD56" s="350"/>
      <c r="CE56" s="350"/>
      <c r="CF56" s="350"/>
      <c r="CG56" s="350"/>
      <c r="CH56" s="350"/>
      <c r="CI56" s="350"/>
      <c r="CJ56" s="350"/>
      <c r="CK56" s="350"/>
      <c r="CL56" s="350"/>
      <c r="CM56" s="350"/>
      <c r="CN56" s="350"/>
      <c r="CO56" s="350"/>
      <c r="CP56" s="350"/>
      <c r="CQ56" s="350"/>
      <c r="CR56" s="350"/>
      <c r="CS56" s="350"/>
      <c r="CT56" s="350"/>
      <c r="CU56" s="350"/>
      <c r="CV56" s="350"/>
      <c r="CW56" s="350"/>
      <c r="CX56" s="350"/>
      <c r="CY56" s="350"/>
      <c r="CZ56" s="350"/>
      <c r="DA56" s="350"/>
      <c r="DB56" s="350"/>
      <c r="DC56" s="350"/>
      <c r="DD56" s="350"/>
      <c r="DE56" s="350"/>
      <c r="DF56" s="350"/>
      <c r="DG56" s="350"/>
      <c r="DH56" s="350"/>
      <c r="DI56" s="350"/>
      <c r="DJ56" s="350"/>
      <c r="DK56" s="350"/>
      <c r="DL56" s="350"/>
      <c r="DM56" s="350"/>
      <c r="DN56" s="350"/>
      <c r="DO56" s="350"/>
      <c r="DP56" s="350"/>
      <c r="DQ56" s="350"/>
      <c r="DR56" s="350"/>
      <c r="DS56" s="350"/>
      <c r="DT56" s="350"/>
      <c r="DU56" s="350"/>
      <c r="DV56" s="350"/>
      <c r="DW56" s="350"/>
      <c r="DX56" s="350"/>
      <c r="DY56" s="350"/>
      <c r="DZ56" s="350"/>
      <c r="EA56" s="350"/>
      <c r="EB56" s="350"/>
      <c r="EC56" s="350"/>
      <c r="ED56" s="350"/>
      <c r="EE56" s="350"/>
      <c r="EF56" s="350"/>
      <c r="EG56" s="350"/>
      <c r="EH56" s="350"/>
      <c r="EI56" s="350"/>
      <c r="EJ56" s="350"/>
      <c r="EK56" s="350"/>
      <c r="EL56" s="350"/>
      <c r="EM56" s="350"/>
      <c r="EN56" s="350"/>
      <c r="EO56" s="350"/>
      <c r="EP56" s="350"/>
      <c r="EQ56" s="350"/>
      <c r="ER56" s="350"/>
      <c r="ES56" s="350"/>
      <c r="ET56" s="350"/>
      <c r="EU56" s="350"/>
      <c r="EV56" s="350"/>
      <c r="EW56" s="350"/>
      <c r="EX56" s="350"/>
      <c r="EY56" s="350"/>
      <c r="EZ56" s="350"/>
      <c r="FA56" s="350"/>
      <c r="FB56" s="350"/>
      <c r="FC56" s="350"/>
      <c r="FD56" s="350"/>
      <c r="FE56" s="350"/>
      <c r="FF56" s="350"/>
      <c r="FG56" s="350"/>
      <c r="FH56" s="350"/>
      <c r="FI56" s="350"/>
      <c r="FJ56" s="350"/>
      <c r="FK56" s="350"/>
      <c r="FL56" s="350"/>
      <c r="FM56" s="350"/>
      <c r="FN56" s="350"/>
      <c r="FO56" s="350"/>
      <c r="FP56" s="350"/>
      <c r="FQ56" s="350"/>
      <c r="FR56" s="350"/>
      <c r="FS56" s="350"/>
      <c r="FT56" s="350"/>
      <c r="FU56" s="350"/>
      <c r="FV56" s="350"/>
      <c r="FW56" s="350"/>
      <c r="FX56" s="350"/>
      <c r="FY56" s="350"/>
      <c r="FZ56" s="350"/>
      <c r="GA56" s="350"/>
      <c r="GB56" s="350"/>
      <c r="GC56" s="350"/>
      <c r="GD56" s="350"/>
      <c r="GE56" s="350"/>
      <c r="GF56" s="350"/>
      <c r="GG56" s="350"/>
      <c r="GH56" s="350"/>
      <c r="GI56" s="350"/>
      <c r="GJ56" s="350"/>
      <c r="GK56" s="350"/>
      <c r="GL56" s="350"/>
      <c r="GM56" s="350"/>
      <c r="GN56" s="350"/>
      <c r="GO56" s="350"/>
      <c r="GP56" s="350"/>
      <c r="GQ56" s="350"/>
      <c r="GR56" s="350"/>
      <c r="GS56" s="350"/>
      <c r="GT56" s="350"/>
      <c r="GU56" s="350"/>
      <c r="GV56" s="350"/>
      <c r="GW56" s="350"/>
      <c r="GX56" s="350"/>
      <c r="GY56" s="350"/>
      <c r="GZ56" s="350"/>
      <c r="HA56" s="350"/>
      <c r="HB56" s="350"/>
      <c r="HC56" s="350"/>
      <c r="HD56" s="350"/>
      <c r="HE56" s="350"/>
      <c r="HF56" s="350"/>
      <c r="HG56" s="350"/>
      <c r="HH56" s="350"/>
      <c r="HI56" s="350"/>
      <c r="HJ56" s="350"/>
      <c r="HK56" s="350"/>
      <c r="HL56" s="350"/>
      <c r="HM56" s="350"/>
      <c r="HN56" s="350"/>
      <c r="HO56" s="350"/>
      <c r="HP56" s="350"/>
      <c r="HQ56" s="350"/>
      <c r="HR56" s="350"/>
      <c r="HS56" s="350"/>
      <c r="HT56" s="350"/>
      <c r="HU56" s="350"/>
    </row>
    <row r="57" spans="1:229" ht="17.5" x14ac:dyDescent="0.45">
      <c r="A57" s="269" t="s">
        <v>91</v>
      </c>
      <c r="B57" s="247">
        <v>584100.28571428556</v>
      </c>
      <c r="C57" s="247">
        <v>118961.85714285709</v>
      </c>
      <c r="D57" s="247">
        <v>149865.42857142861</v>
      </c>
      <c r="E57" s="247">
        <v>852927.57142857113</v>
      </c>
      <c r="F57" s="247">
        <v>399088.14285714278</v>
      </c>
      <c r="G57" s="247">
        <v>52194.857142857152</v>
      </c>
      <c r="H57" s="247">
        <v>78515.142857142913</v>
      </c>
      <c r="I57" s="247">
        <v>54500</v>
      </c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  <c r="AA57" s="349"/>
      <c r="AB57" s="350"/>
      <c r="AC57" s="350"/>
      <c r="AD57" s="350"/>
      <c r="AE57" s="350"/>
      <c r="AF57" s="350"/>
      <c r="AG57" s="350"/>
      <c r="AH57" s="350"/>
      <c r="AI57" s="350"/>
      <c r="AJ57" s="350"/>
      <c r="AK57" s="350"/>
      <c r="AL57" s="350"/>
      <c r="AM57" s="350"/>
      <c r="AN57" s="350"/>
      <c r="AO57" s="350"/>
      <c r="AP57" s="350"/>
      <c r="AQ57" s="350"/>
      <c r="AR57" s="350"/>
      <c r="AS57" s="350"/>
      <c r="AT57" s="350"/>
      <c r="AU57" s="350"/>
      <c r="AV57" s="350"/>
      <c r="AW57" s="350"/>
      <c r="AX57" s="350"/>
      <c r="AY57" s="350"/>
      <c r="AZ57" s="350"/>
      <c r="BA57" s="350"/>
      <c r="BB57" s="350"/>
      <c r="BC57" s="350"/>
      <c r="BD57" s="350"/>
      <c r="BE57" s="350"/>
      <c r="BF57" s="350"/>
      <c r="BG57" s="350"/>
      <c r="BH57" s="350"/>
      <c r="BI57" s="350"/>
      <c r="BJ57" s="350"/>
      <c r="BK57" s="350"/>
      <c r="BL57" s="350"/>
      <c r="BM57" s="350"/>
      <c r="BN57" s="350"/>
      <c r="BO57" s="350"/>
      <c r="BP57" s="350"/>
      <c r="BQ57" s="350"/>
      <c r="BR57" s="350"/>
      <c r="BS57" s="350"/>
      <c r="BT57" s="350"/>
      <c r="BU57" s="350"/>
      <c r="BV57" s="350"/>
      <c r="BW57" s="350"/>
      <c r="BX57" s="350"/>
      <c r="BY57" s="350"/>
      <c r="BZ57" s="350"/>
      <c r="CA57" s="350"/>
      <c r="CB57" s="350"/>
      <c r="CC57" s="350"/>
      <c r="CD57" s="350"/>
      <c r="CE57" s="350"/>
      <c r="CF57" s="350"/>
      <c r="CG57" s="350"/>
      <c r="CH57" s="350"/>
      <c r="CI57" s="350"/>
      <c r="CJ57" s="350"/>
      <c r="CK57" s="350"/>
      <c r="CL57" s="350"/>
      <c r="CM57" s="350"/>
      <c r="CN57" s="350"/>
      <c r="CO57" s="350"/>
      <c r="CP57" s="350"/>
      <c r="CQ57" s="350"/>
      <c r="CR57" s="350"/>
      <c r="CS57" s="350"/>
      <c r="CT57" s="350"/>
      <c r="CU57" s="350"/>
      <c r="CV57" s="350"/>
      <c r="CW57" s="350"/>
      <c r="CX57" s="350"/>
      <c r="CY57" s="350"/>
      <c r="CZ57" s="350"/>
      <c r="DA57" s="350"/>
      <c r="DB57" s="350"/>
      <c r="DC57" s="350"/>
      <c r="DD57" s="350"/>
      <c r="DE57" s="350"/>
      <c r="DF57" s="350"/>
      <c r="DG57" s="350"/>
      <c r="DH57" s="350"/>
      <c r="DI57" s="350"/>
      <c r="DJ57" s="350"/>
      <c r="DK57" s="350"/>
      <c r="DL57" s="350"/>
      <c r="DM57" s="350"/>
      <c r="DN57" s="350"/>
      <c r="DO57" s="350"/>
      <c r="DP57" s="350"/>
      <c r="DQ57" s="350"/>
      <c r="DR57" s="350"/>
      <c r="DS57" s="350"/>
      <c r="DT57" s="350"/>
      <c r="DU57" s="350"/>
      <c r="DV57" s="350"/>
      <c r="DW57" s="350"/>
      <c r="DX57" s="350"/>
      <c r="DY57" s="350"/>
      <c r="DZ57" s="350"/>
      <c r="EA57" s="350"/>
      <c r="EB57" s="350"/>
      <c r="EC57" s="350"/>
      <c r="ED57" s="350"/>
      <c r="EE57" s="350"/>
      <c r="EF57" s="350"/>
      <c r="EG57" s="350"/>
      <c r="EH57" s="350"/>
      <c r="EI57" s="350"/>
      <c r="EJ57" s="350"/>
      <c r="EK57" s="350"/>
      <c r="EL57" s="350"/>
      <c r="EM57" s="350"/>
      <c r="EN57" s="350"/>
      <c r="EO57" s="350"/>
      <c r="EP57" s="350"/>
      <c r="EQ57" s="350"/>
      <c r="ER57" s="350"/>
      <c r="ES57" s="350"/>
      <c r="ET57" s="350"/>
      <c r="EU57" s="350"/>
      <c r="EV57" s="350"/>
      <c r="EW57" s="350"/>
      <c r="EX57" s="350"/>
      <c r="EY57" s="350"/>
      <c r="EZ57" s="350"/>
      <c r="FA57" s="350"/>
      <c r="FB57" s="350"/>
      <c r="FC57" s="350"/>
      <c r="FD57" s="350"/>
      <c r="FE57" s="350"/>
      <c r="FF57" s="350"/>
      <c r="FG57" s="350"/>
      <c r="FH57" s="350"/>
      <c r="FI57" s="350"/>
      <c r="FJ57" s="350"/>
      <c r="FK57" s="350"/>
      <c r="FL57" s="350"/>
      <c r="FM57" s="350"/>
      <c r="FN57" s="350"/>
      <c r="FO57" s="350"/>
      <c r="FP57" s="350"/>
      <c r="FQ57" s="350"/>
      <c r="FR57" s="350"/>
      <c r="FS57" s="350"/>
      <c r="FT57" s="350"/>
      <c r="FU57" s="350"/>
      <c r="FV57" s="350"/>
      <c r="FW57" s="350"/>
      <c r="FX57" s="350"/>
      <c r="FY57" s="350"/>
      <c r="FZ57" s="350"/>
      <c r="GA57" s="350"/>
      <c r="GB57" s="350"/>
      <c r="GC57" s="350"/>
      <c r="GD57" s="350"/>
      <c r="GE57" s="350"/>
      <c r="GF57" s="350"/>
      <c r="GG57" s="350"/>
      <c r="GH57" s="350"/>
      <c r="GI57" s="350"/>
      <c r="GJ57" s="350"/>
      <c r="GK57" s="350"/>
      <c r="GL57" s="350"/>
      <c r="GM57" s="350"/>
      <c r="GN57" s="350"/>
      <c r="GO57" s="350"/>
      <c r="GP57" s="350"/>
      <c r="GQ57" s="350"/>
      <c r="GR57" s="350"/>
      <c r="GS57" s="350"/>
      <c r="GT57" s="350"/>
      <c r="GU57" s="350"/>
      <c r="GV57" s="350"/>
      <c r="GW57" s="350"/>
      <c r="GX57" s="350"/>
      <c r="GY57" s="350"/>
      <c r="GZ57" s="350"/>
      <c r="HA57" s="350"/>
      <c r="HB57" s="350"/>
      <c r="HC57" s="350"/>
      <c r="HD57" s="350"/>
      <c r="HE57" s="350"/>
      <c r="HF57" s="350"/>
      <c r="HG57" s="350"/>
      <c r="HH57" s="350"/>
      <c r="HI57" s="350"/>
      <c r="HJ57" s="350"/>
      <c r="HK57" s="350"/>
      <c r="HL57" s="350"/>
      <c r="HM57" s="350"/>
      <c r="HN57" s="350"/>
      <c r="HO57" s="350"/>
      <c r="HP57" s="350"/>
      <c r="HQ57" s="350"/>
      <c r="HR57" s="350"/>
      <c r="HS57" s="350"/>
      <c r="HT57" s="350"/>
      <c r="HU57" s="350"/>
    </row>
    <row r="58" spans="1:229" ht="17.5" x14ac:dyDescent="0.45">
      <c r="A58" s="269" t="s">
        <v>92</v>
      </c>
      <c r="B58" s="242">
        <v>5132.1428571428569</v>
      </c>
      <c r="C58" s="242">
        <v>201.42857142857142</v>
      </c>
      <c r="D58" s="242">
        <v>89.714285714285708</v>
      </c>
      <c r="E58" s="242">
        <v>5423.2857142857138</v>
      </c>
      <c r="F58" s="242">
        <v>2851.5714285714284</v>
      </c>
      <c r="G58" s="242">
        <v>321.42857142857144</v>
      </c>
      <c r="H58" s="242">
        <v>400.57142857142856</v>
      </c>
      <c r="I58" s="242">
        <v>239</v>
      </c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  <c r="AB58" s="350"/>
      <c r="AC58" s="350"/>
      <c r="AD58" s="350"/>
      <c r="AE58" s="350"/>
      <c r="AF58" s="350"/>
      <c r="AG58" s="350"/>
      <c r="AH58" s="350"/>
      <c r="AI58" s="350"/>
      <c r="AJ58" s="350"/>
      <c r="AK58" s="350"/>
      <c r="AL58" s="350"/>
      <c r="AM58" s="350"/>
      <c r="AN58" s="350"/>
      <c r="AO58" s="350"/>
      <c r="AP58" s="350"/>
      <c r="AQ58" s="350"/>
      <c r="AR58" s="350"/>
      <c r="AS58" s="350"/>
      <c r="AT58" s="350"/>
      <c r="AU58" s="350"/>
      <c r="AV58" s="350"/>
      <c r="AW58" s="350"/>
      <c r="AX58" s="350"/>
      <c r="AY58" s="350"/>
      <c r="AZ58" s="350"/>
      <c r="BA58" s="350"/>
      <c r="BB58" s="350"/>
      <c r="BC58" s="350"/>
      <c r="BD58" s="350"/>
      <c r="BE58" s="350"/>
      <c r="BF58" s="350"/>
      <c r="BG58" s="350"/>
      <c r="BH58" s="350"/>
      <c r="BI58" s="350"/>
      <c r="BJ58" s="350"/>
      <c r="BK58" s="350"/>
      <c r="BL58" s="350"/>
      <c r="BM58" s="350"/>
      <c r="BN58" s="350"/>
      <c r="BO58" s="350"/>
      <c r="BP58" s="350"/>
      <c r="BQ58" s="350"/>
      <c r="BR58" s="350"/>
      <c r="BS58" s="350"/>
      <c r="BT58" s="350"/>
      <c r="BU58" s="350"/>
      <c r="BV58" s="350"/>
      <c r="BW58" s="350"/>
      <c r="BX58" s="350"/>
      <c r="BY58" s="350"/>
      <c r="BZ58" s="350"/>
      <c r="CA58" s="350"/>
      <c r="CB58" s="350"/>
      <c r="CC58" s="350"/>
      <c r="CD58" s="350"/>
      <c r="CE58" s="350"/>
      <c r="CF58" s="350"/>
      <c r="CG58" s="350"/>
      <c r="CH58" s="350"/>
      <c r="CI58" s="350"/>
      <c r="CJ58" s="350"/>
      <c r="CK58" s="350"/>
      <c r="CL58" s="350"/>
      <c r="CM58" s="350"/>
      <c r="CN58" s="350"/>
      <c r="CO58" s="350"/>
      <c r="CP58" s="350"/>
      <c r="CQ58" s="350"/>
      <c r="CR58" s="350"/>
      <c r="CS58" s="350"/>
      <c r="CT58" s="350"/>
      <c r="CU58" s="350"/>
      <c r="CV58" s="350"/>
      <c r="CW58" s="350"/>
      <c r="CX58" s="350"/>
      <c r="CY58" s="350"/>
      <c r="CZ58" s="350"/>
      <c r="DA58" s="350"/>
      <c r="DB58" s="350"/>
      <c r="DC58" s="350"/>
      <c r="DD58" s="350"/>
      <c r="DE58" s="350"/>
      <c r="DF58" s="350"/>
      <c r="DG58" s="350"/>
      <c r="DH58" s="350"/>
      <c r="DI58" s="350"/>
      <c r="DJ58" s="350"/>
      <c r="DK58" s="350"/>
      <c r="DL58" s="350"/>
      <c r="DM58" s="350"/>
      <c r="DN58" s="350"/>
      <c r="DO58" s="350"/>
      <c r="DP58" s="350"/>
      <c r="DQ58" s="350"/>
      <c r="DR58" s="350"/>
      <c r="DS58" s="350"/>
      <c r="DT58" s="350"/>
      <c r="DU58" s="350"/>
      <c r="DV58" s="350"/>
      <c r="DW58" s="350"/>
      <c r="DX58" s="350"/>
      <c r="DY58" s="350"/>
      <c r="DZ58" s="350"/>
      <c r="EA58" s="350"/>
      <c r="EB58" s="350"/>
      <c r="EC58" s="350"/>
      <c r="ED58" s="350"/>
      <c r="EE58" s="350"/>
      <c r="EF58" s="350"/>
      <c r="EG58" s="350"/>
      <c r="EH58" s="350"/>
      <c r="EI58" s="350"/>
      <c r="EJ58" s="350"/>
      <c r="EK58" s="350"/>
      <c r="EL58" s="350"/>
      <c r="EM58" s="350"/>
      <c r="EN58" s="350"/>
      <c r="EO58" s="350"/>
      <c r="EP58" s="350"/>
      <c r="EQ58" s="350"/>
      <c r="ER58" s="350"/>
      <c r="ES58" s="350"/>
      <c r="ET58" s="350"/>
      <c r="EU58" s="350"/>
      <c r="EV58" s="350"/>
      <c r="EW58" s="350"/>
      <c r="EX58" s="350"/>
      <c r="EY58" s="350"/>
      <c r="EZ58" s="350"/>
      <c r="FA58" s="350"/>
      <c r="FB58" s="350"/>
      <c r="FC58" s="350"/>
      <c r="FD58" s="350"/>
      <c r="FE58" s="350"/>
      <c r="FF58" s="350"/>
      <c r="FG58" s="350"/>
      <c r="FH58" s="350"/>
      <c r="FI58" s="350"/>
      <c r="FJ58" s="350"/>
      <c r="FK58" s="350"/>
      <c r="FL58" s="350"/>
      <c r="FM58" s="350"/>
      <c r="FN58" s="350"/>
      <c r="FO58" s="350"/>
      <c r="FP58" s="350"/>
      <c r="FQ58" s="350"/>
      <c r="FR58" s="350"/>
      <c r="FS58" s="350"/>
      <c r="FT58" s="350"/>
      <c r="FU58" s="350"/>
      <c r="FV58" s="350"/>
      <c r="FW58" s="350"/>
      <c r="FX58" s="350"/>
      <c r="FY58" s="350"/>
      <c r="FZ58" s="350"/>
      <c r="GA58" s="350"/>
      <c r="GB58" s="350"/>
      <c r="GC58" s="350"/>
      <c r="GD58" s="350"/>
      <c r="GE58" s="350"/>
      <c r="GF58" s="350"/>
      <c r="GG58" s="350"/>
      <c r="GH58" s="350"/>
      <c r="GI58" s="350"/>
      <c r="GJ58" s="350"/>
      <c r="GK58" s="350"/>
      <c r="GL58" s="350"/>
      <c r="GM58" s="350"/>
      <c r="GN58" s="350"/>
      <c r="GO58" s="350"/>
      <c r="GP58" s="350"/>
      <c r="GQ58" s="350"/>
      <c r="GR58" s="350"/>
      <c r="GS58" s="350"/>
      <c r="GT58" s="350"/>
      <c r="GU58" s="350"/>
      <c r="GV58" s="350"/>
      <c r="GW58" s="350"/>
      <c r="GX58" s="350"/>
      <c r="GY58" s="350"/>
      <c r="GZ58" s="350"/>
      <c r="HA58" s="350"/>
      <c r="HB58" s="350"/>
      <c r="HC58" s="350"/>
      <c r="HD58" s="350"/>
      <c r="HE58" s="350"/>
      <c r="HF58" s="350"/>
      <c r="HG58" s="350"/>
      <c r="HH58" s="350"/>
      <c r="HI58" s="350"/>
      <c r="HJ58" s="350"/>
      <c r="HK58" s="350"/>
      <c r="HL58" s="350"/>
      <c r="HM58" s="350"/>
      <c r="HN58" s="350"/>
      <c r="HO58" s="350"/>
      <c r="HP58" s="350"/>
      <c r="HQ58" s="350"/>
      <c r="HR58" s="350"/>
      <c r="HS58" s="350"/>
      <c r="HT58" s="350"/>
      <c r="HU58" s="350"/>
    </row>
    <row r="59" spans="1:229" s="353" customFormat="1" ht="17.5" x14ac:dyDescent="0.45">
      <c r="A59" s="323" t="s">
        <v>93</v>
      </c>
      <c r="B59" s="242">
        <v>41057.142857142848</v>
      </c>
      <c r="C59" s="242">
        <v>1611.4285714285711</v>
      </c>
      <c r="D59" s="242">
        <v>717.71428571428555</v>
      </c>
      <c r="E59" s="242">
        <v>43386.285714285703</v>
      </c>
      <c r="F59" s="242">
        <v>22812.571428571424</v>
      </c>
      <c r="G59" s="242">
        <v>2571.428571428572</v>
      </c>
      <c r="H59" s="242">
        <v>3204.571428571428</v>
      </c>
      <c r="I59" s="242">
        <v>1912</v>
      </c>
      <c r="J59" s="352"/>
      <c r="K59" s="352"/>
      <c r="L59" s="352"/>
      <c r="M59" s="352"/>
      <c r="N59" s="352"/>
      <c r="O59" s="352"/>
      <c r="P59" s="352"/>
      <c r="Q59" s="352"/>
      <c r="R59" s="352"/>
      <c r="S59" s="352"/>
      <c r="T59" s="352"/>
      <c r="U59" s="352"/>
      <c r="V59" s="352"/>
      <c r="W59" s="352"/>
      <c r="X59" s="352"/>
      <c r="Y59" s="352"/>
      <c r="Z59" s="352"/>
      <c r="AA59" s="352"/>
    </row>
    <row r="60" spans="1:229" x14ac:dyDescent="0.35">
      <c r="A60" s="55"/>
      <c r="B60" s="5"/>
      <c r="C60" s="5"/>
      <c r="D60" s="5"/>
      <c r="E60" s="5"/>
      <c r="F60" s="56" t="s">
        <v>102</v>
      </c>
      <c r="G60" s="56" t="s">
        <v>102</v>
      </c>
      <c r="H60" s="56" t="s">
        <v>102</v>
      </c>
      <c r="I60" s="56" t="s">
        <v>102</v>
      </c>
      <c r="J60" s="354"/>
      <c r="K60" s="354"/>
      <c r="L60" s="354"/>
      <c r="M60" s="354"/>
      <c r="N60" s="354"/>
      <c r="O60" s="354"/>
      <c r="P60" s="354"/>
      <c r="Q60" s="354"/>
      <c r="R60" s="354"/>
      <c r="S60" s="354"/>
      <c r="T60" s="354"/>
      <c r="U60" s="354"/>
      <c r="V60" s="354"/>
      <c r="W60" s="354"/>
      <c r="X60" s="354"/>
      <c r="Y60" s="354"/>
      <c r="Z60" s="354"/>
      <c r="AA60" s="354"/>
    </row>
    <row r="61" spans="1:229" x14ac:dyDescent="0.35">
      <c r="A61" s="55"/>
      <c r="B61" s="5"/>
      <c r="C61" s="5"/>
      <c r="D61" s="5"/>
      <c r="E61" s="5"/>
      <c r="F61" s="56" t="s">
        <v>102</v>
      </c>
      <c r="G61" s="56" t="s">
        <v>102</v>
      </c>
      <c r="H61" s="56" t="s">
        <v>102</v>
      </c>
      <c r="I61" s="56" t="s">
        <v>102</v>
      </c>
      <c r="J61" s="354"/>
      <c r="K61" s="354"/>
      <c r="L61" s="354"/>
      <c r="M61" s="354"/>
      <c r="N61" s="354"/>
      <c r="O61" s="354"/>
      <c r="P61" s="354"/>
      <c r="Q61" s="354"/>
      <c r="R61" s="354"/>
      <c r="S61" s="354"/>
      <c r="T61" s="354"/>
      <c r="U61" s="354"/>
      <c r="V61" s="354"/>
      <c r="W61" s="354"/>
      <c r="X61" s="354"/>
      <c r="Y61" s="354"/>
      <c r="Z61" s="354"/>
      <c r="AA61" s="354"/>
    </row>
    <row r="62" spans="1:229" x14ac:dyDescent="0.35">
      <c r="A62" s="55"/>
      <c r="B62" s="5"/>
      <c r="C62" s="5"/>
      <c r="D62" s="5"/>
      <c r="E62" s="5"/>
      <c r="F62" s="56" t="s">
        <v>102</v>
      </c>
      <c r="G62" s="56" t="s">
        <v>102</v>
      </c>
      <c r="H62" s="56" t="s">
        <v>102</v>
      </c>
      <c r="I62" s="56" t="s">
        <v>102</v>
      </c>
      <c r="J62" s="354"/>
      <c r="K62" s="354"/>
      <c r="L62" s="354"/>
      <c r="M62" s="354"/>
      <c r="N62" s="354"/>
      <c r="O62" s="354"/>
      <c r="P62" s="354"/>
      <c r="Q62" s="354"/>
      <c r="R62" s="354"/>
      <c r="S62" s="354"/>
      <c r="T62" s="354"/>
      <c r="U62" s="354"/>
      <c r="V62" s="354"/>
      <c r="W62" s="354"/>
      <c r="X62" s="354"/>
      <c r="Y62" s="354"/>
      <c r="Z62" s="354"/>
      <c r="AA62" s="354"/>
    </row>
    <row r="63" spans="1:229" x14ac:dyDescent="0.35">
      <c r="A63" s="55"/>
      <c r="B63" s="5"/>
      <c r="C63" s="5"/>
      <c r="D63" s="5"/>
      <c r="E63" s="5"/>
      <c r="F63" s="56" t="s">
        <v>102</v>
      </c>
      <c r="G63" s="56" t="s">
        <v>102</v>
      </c>
      <c r="H63" s="56" t="s">
        <v>102</v>
      </c>
      <c r="I63" s="56" t="s">
        <v>102</v>
      </c>
      <c r="J63" s="354"/>
      <c r="K63" s="354"/>
      <c r="L63" s="354"/>
      <c r="M63" s="354"/>
      <c r="N63" s="354"/>
      <c r="O63" s="354"/>
      <c r="P63" s="354"/>
      <c r="Q63" s="354"/>
      <c r="R63" s="354"/>
      <c r="S63" s="354"/>
      <c r="T63" s="354"/>
      <c r="U63" s="354"/>
      <c r="V63" s="354"/>
      <c r="W63" s="354"/>
      <c r="X63" s="354"/>
      <c r="Y63" s="354"/>
      <c r="Z63" s="354"/>
      <c r="AA63" s="354"/>
    </row>
    <row r="64" spans="1:229" x14ac:dyDescent="0.35">
      <c r="A64" s="55"/>
      <c r="B64" s="5"/>
      <c r="C64" s="5"/>
      <c r="D64" s="5"/>
      <c r="E64" s="5"/>
      <c r="F64" s="56" t="s">
        <v>102</v>
      </c>
      <c r="G64" s="56" t="s">
        <v>102</v>
      </c>
      <c r="H64" s="56" t="s">
        <v>102</v>
      </c>
      <c r="I64" s="56" t="s">
        <v>102</v>
      </c>
      <c r="J64" s="354"/>
      <c r="K64" s="354"/>
      <c r="L64" s="354"/>
      <c r="M64" s="354"/>
      <c r="N64" s="354"/>
      <c r="O64" s="354"/>
      <c r="P64" s="354"/>
      <c r="Q64" s="354"/>
      <c r="R64" s="354"/>
      <c r="S64" s="354"/>
      <c r="T64" s="354"/>
      <c r="U64" s="354"/>
      <c r="V64" s="354"/>
      <c r="W64" s="354"/>
      <c r="X64" s="354"/>
      <c r="Y64" s="354"/>
      <c r="Z64" s="354"/>
      <c r="AA64" s="354"/>
    </row>
    <row r="65" spans="1:27" x14ac:dyDescent="0.35">
      <c r="A65" s="55"/>
      <c r="B65" s="5"/>
      <c r="C65" s="5"/>
      <c r="D65" s="5"/>
      <c r="E65" s="5"/>
      <c r="F65" s="56" t="s">
        <v>102</v>
      </c>
      <c r="G65" s="56" t="s">
        <v>102</v>
      </c>
      <c r="H65" s="56" t="s">
        <v>102</v>
      </c>
      <c r="I65" s="56" t="s">
        <v>102</v>
      </c>
      <c r="J65" s="354"/>
      <c r="K65" s="354"/>
      <c r="L65" s="354"/>
      <c r="M65" s="354"/>
      <c r="N65" s="354"/>
      <c r="O65" s="354"/>
      <c r="P65" s="354"/>
      <c r="Q65" s="354"/>
      <c r="R65" s="354"/>
      <c r="S65" s="354"/>
      <c r="T65" s="354"/>
      <c r="U65" s="354"/>
      <c r="V65" s="354"/>
      <c r="W65" s="354"/>
      <c r="X65" s="354"/>
      <c r="Y65" s="354"/>
      <c r="Z65" s="354"/>
      <c r="AA65" s="354"/>
    </row>
    <row r="66" spans="1:27" x14ac:dyDescent="0.35">
      <c r="A66" s="55"/>
      <c r="B66" s="5"/>
      <c r="C66" s="5"/>
      <c r="D66" s="5"/>
      <c r="E66" s="5"/>
      <c r="F66" s="57"/>
      <c r="G66" s="57"/>
      <c r="H66" s="57"/>
      <c r="I66" s="57"/>
      <c r="J66" s="354"/>
      <c r="K66" s="354"/>
      <c r="L66" s="354"/>
      <c r="M66" s="354"/>
      <c r="N66" s="354"/>
      <c r="O66" s="354"/>
      <c r="P66" s="354"/>
      <c r="Q66" s="354"/>
      <c r="R66" s="354"/>
      <c r="S66" s="354"/>
      <c r="T66" s="354"/>
      <c r="U66" s="354"/>
      <c r="V66" s="354"/>
      <c r="W66" s="354"/>
      <c r="X66" s="354"/>
      <c r="Y66" s="354"/>
      <c r="Z66" s="354"/>
      <c r="AA66" s="354"/>
    </row>
    <row r="67" spans="1:27" x14ac:dyDescent="0.35">
      <c r="A67" s="55"/>
      <c r="B67" s="5"/>
      <c r="C67" s="5"/>
      <c r="D67" s="5"/>
      <c r="E67" s="5"/>
      <c r="F67" s="57"/>
      <c r="G67" s="57"/>
      <c r="H67" s="57"/>
      <c r="I67" s="57"/>
      <c r="J67" s="354"/>
      <c r="K67" s="354"/>
      <c r="L67" s="354"/>
      <c r="M67" s="354"/>
      <c r="N67" s="354"/>
      <c r="O67" s="354"/>
      <c r="P67" s="354"/>
      <c r="Q67" s="354"/>
      <c r="R67" s="354"/>
      <c r="S67" s="354"/>
      <c r="T67" s="354"/>
      <c r="U67" s="354"/>
      <c r="V67" s="354"/>
      <c r="W67" s="354"/>
      <c r="X67" s="354"/>
      <c r="Y67" s="354"/>
      <c r="Z67" s="354"/>
      <c r="AA67" s="354"/>
    </row>
    <row r="68" spans="1:27" x14ac:dyDescent="0.35">
      <c r="A68" s="55"/>
      <c r="B68" s="5"/>
      <c r="C68" s="5"/>
      <c r="D68" s="5"/>
      <c r="E68" s="5"/>
      <c r="F68" s="57"/>
      <c r="G68" s="57"/>
      <c r="H68" s="57"/>
      <c r="I68" s="57"/>
      <c r="J68" s="354"/>
      <c r="K68" s="354"/>
      <c r="L68" s="354"/>
      <c r="M68" s="354"/>
      <c r="N68" s="354"/>
      <c r="O68" s="354"/>
      <c r="P68" s="354"/>
      <c r="Q68" s="354"/>
      <c r="R68" s="354"/>
      <c r="S68" s="354"/>
      <c r="T68" s="354"/>
      <c r="U68" s="354"/>
      <c r="V68" s="354"/>
      <c r="W68" s="354"/>
      <c r="X68" s="354"/>
      <c r="Y68" s="354"/>
      <c r="Z68" s="354"/>
      <c r="AA68" s="354"/>
    </row>
    <row r="69" spans="1:27" x14ac:dyDescent="0.35">
      <c r="A69" s="55"/>
      <c r="B69" s="5"/>
      <c r="C69" s="5"/>
      <c r="D69" s="5"/>
      <c r="E69" s="5"/>
      <c r="F69" s="57"/>
      <c r="G69" s="57"/>
      <c r="H69" s="57"/>
      <c r="I69" s="57"/>
      <c r="J69" s="354"/>
      <c r="K69" s="354"/>
      <c r="L69" s="354"/>
      <c r="M69" s="354"/>
      <c r="N69" s="354"/>
      <c r="O69" s="354"/>
      <c r="P69" s="354"/>
      <c r="Q69" s="354"/>
      <c r="R69" s="354"/>
      <c r="S69" s="354"/>
      <c r="T69" s="354"/>
      <c r="U69" s="354"/>
      <c r="V69" s="354"/>
      <c r="W69" s="354"/>
      <c r="X69" s="354"/>
      <c r="Y69" s="354"/>
      <c r="Z69" s="354"/>
      <c r="AA69" s="354"/>
    </row>
    <row r="70" spans="1:27" x14ac:dyDescent="0.35">
      <c r="A70" s="55"/>
      <c r="B70" s="5"/>
      <c r="C70" s="5"/>
      <c r="D70" s="5"/>
      <c r="E70" s="5"/>
      <c r="F70" s="57"/>
      <c r="G70" s="57"/>
      <c r="H70" s="57"/>
      <c r="I70" s="57"/>
      <c r="J70" s="354"/>
      <c r="K70" s="354"/>
      <c r="L70" s="354"/>
      <c r="M70" s="354"/>
      <c r="N70" s="354"/>
      <c r="O70" s="354"/>
      <c r="P70" s="354"/>
      <c r="Q70" s="354"/>
      <c r="R70" s="354"/>
      <c r="S70" s="354"/>
      <c r="T70" s="354"/>
      <c r="U70" s="354"/>
      <c r="V70" s="354"/>
      <c r="W70" s="354"/>
      <c r="X70" s="354"/>
      <c r="Y70" s="354"/>
      <c r="Z70" s="354"/>
      <c r="AA70" s="354"/>
    </row>
    <row r="71" spans="1:27" x14ac:dyDescent="0.35">
      <c r="A71" s="55"/>
      <c r="B71" s="5"/>
      <c r="C71" s="5"/>
      <c r="D71" s="5"/>
      <c r="E71" s="5"/>
      <c r="F71" s="57"/>
      <c r="G71" s="57"/>
      <c r="H71" s="57"/>
      <c r="I71" s="57"/>
      <c r="J71" s="354"/>
      <c r="K71" s="354"/>
      <c r="L71" s="354"/>
      <c r="M71" s="354"/>
      <c r="N71" s="354"/>
      <c r="O71" s="354"/>
      <c r="P71" s="354"/>
      <c r="Q71" s="354"/>
      <c r="R71" s="354"/>
      <c r="S71" s="354"/>
      <c r="T71" s="354"/>
      <c r="U71" s="354"/>
      <c r="V71" s="354"/>
      <c r="W71" s="354"/>
      <c r="X71" s="354"/>
      <c r="Y71" s="354"/>
      <c r="Z71" s="354"/>
      <c r="AA71" s="354"/>
    </row>
    <row r="72" spans="1:27" x14ac:dyDescent="0.35">
      <c r="A72" s="55"/>
      <c r="B72" s="5"/>
      <c r="C72" s="5"/>
      <c r="D72" s="5"/>
      <c r="E72" s="5"/>
      <c r="F72" s="57"/>
      <c r="G72" s="57"/>
      <c r="H72" s="57"/>
      <c r="I72" s="57"/>
      <c r="J72" s="354"/>
      <c r="K72" s="354"/>
      <c r="L72" s="354"/>
      <c r="M72" s="354"/>
      <c r="N72" s="354"/>
      <c r="O72" s="354"/>
      <c r="P72" s="354"/>
      <c r="Q72" s="354"/>
      <c r="R72" s="354"/>
      <c r="S72" s="354"/>
      <c r="T72" s="354"/>
      <c r="U72" s="354"/>
      <c r="V72" s="354"/>
      <c r="W72" s="354"/>
      <c r="X72" s="354"/>
      <c r="Y72" s="354"/>
      <c r="Z72" s="354"/>
      <c r="AA72" s="354"/>
    </row>
    <row r="73" spans="1:27" x14ac:dyDescent="0.35">
      <c r="A73" s="55"/>
      <c r="B73" s="5"/>
      <c r="C73" s="5"/>
      <c r="D73" s="5"/>
      <c r="E73" s="5"/>
      <c r="F73" s="57"/>
      <c r="G73" s="57"/>
      <c r="H73" s="57"/>
      <c r="I73" s="57"/>
      <c r="J73" s="354"/>
      <c r="K73" s="354"/>
      <c r="L73" s="354"/>
      <c r="M73" s="354"/>
      <c r="N73" s="354"/>
      <c r="O73" s="354"/>
      <c r="P73" s="354"/>
      <c r="Q73" s="354"/>
      <c r="R73" s="354"/>
      <c r="S73" s="354"/>
      <c r="T73" s="354"/>
      <c r="U73" s="354"/>
      <c r="V73" s="354"/>
      <c r="W73" s="354"/>
      <c r="X73" s="354"/>
      <c r="Y73" s="354"/>
      <c r="Z73" s="354"/>
      <c r="AA73" s="354"/>
    </row>
    <row r="74" spans="1:27" x14ac:dyDescent="0.35">
      <c r="A74" s="55"/>
      <c r="B74" s="5"/>
      <c r="C74" s="5"/>
      <c r="D74" s="5"/>
      <c r="E74" s="5"/>
      <c r="F74" s="57"/>
      <c r="G74" s="57"/>
      <c r="H74" s="57"/>
      <c r="I74" s="57"/>
      <c r="J74" s="354"/>
      <c r="K74" s="354"/>
      <c r="L74" s="354"/>
      <c r="M74" s="354"/>
      <c r="N74" s="354"/>
      <c r="O74" s="354"/>
      <c r="P74" s="354"/>
      <c r="Q74" s="354"/>
      <c r="R74" s="354"/>
      <c r="S74" s="354"/>
      <c r="T74" s="354"/>
      <c r="U74" s="354"/>
      <c r="V74" s="354"/>
      <c r="W74" s="354"/>
      <c r="X74" s="354"/>
      <c r="Y74" s="354"/>
      <c r="Z74" s="354"/>
      <c r="AA74" s="354"/>
    </row>
    <row r="75" spans="1:27" x14ac:dyDescent="0.35">
      <c r="A75" s="55"/>
      <c r="B75" s="5"/>
      <c r="C75" s="5"/>
      <c r="D75" s="5"/>
      <c r="E75" s="5"/>
      <c r="F75" s="57"/>
      <c r="G75" s="57"/>
      <c r="H75" s="57"/>
      <c r="I75" s="57"/>
      <c r="J75" s="354"/>
      <c r="K75" s="354"/>
      <c r="L75" s="354"/>
      <c r="M75" s="354"/>
      <c r="N75" s="354"/>
      <c r="O75" s="354"/>
      <c r="P75" s="354"/>
      <c r="Q75" s="354"/>
      <c r="R75" s="354"/>
      <c r="S75" s="354"/>
      <c r="T75" s="354"/>
      <c r="U75" s="354"/>
      <c r="V75" s="354"/>
      <c r="W75" s="354"/>
      <c r="X75" s="354"/>
      <c r="Y75" s="354"/>
      <c r="Z75" s="354"/>
      <c r="AA75" s="354"/>
    </row>
    <row r="76" spans="1:27" x14ac:dyDescent="0.35">
      <c r="A76" s="55"/>
      <c r="B76" s="5"/>
      <c r="C76" s="5"/>
      <c r="D76" s="5"/>
      <c r="E76" s="5"/>
      <c r="F76" s="57"/>
      <c r="G76" s="57"/>
      <c r="H76" s="57"/>
      <c r="I76" s="57"/>
      <c r="J76" s="354"/>
      <c r="K76" s="354"/>
      <c r="L76" s="354"/>
      <c r="M76" s="354"/>
      <c r="N76" s="354"/>
      <c r="O76" s="354"/>
      <c r="P76" s="354"/>
      <c r="Q76" s="354"/>
      <c r="R76" s="354"/>
      <c r="S76" s="354"/>
      <c r="T76" s="354"/>
      <c r="U76" s="354"/>
      <c r="V76" s="354"/>
      <c r="W76" s="354"/>
      <c r="X76" s="354"/>
      <c r="Y76" s="354"/>
      <c r="Z76" s="354"/>
      <c r="AA76" s="354"/>
    </row>
    <row r="77" spans="1:27" x14ac:dyDescent="0.35">
      <c r="A77" s="55"/>
      <c r="B77" s="5"/>
      <c r="C77" s="5"/>
      <c r="D77" s="5"/>
      <c r="E77" s="5"/>
      <c r="F77" s="57"/>
      <c r="G77" s="57"/>
      <c r="H77" s="57"/>
      <c r="I77" s="57"/>
      <c r="J77" s="354"/>
      <c r="K77" s="354"/>
      <c r="L77" s="354"/>
      <c r="M77" s="354"/>
      <c r="N77" s="354"/>
      <c r="O77" s="354"/>
      <c r="P77" s="354"/>
      <c r="Q77" s="354"/>
      <c r="R77" s="354"/>
      <c r="S77" s="354"/>
      <c r="T77" s="354"/>
      <c r="U77" s="354"/>
      <c r="V77" s="354"/>
      <c r="W77" s="354"/>
      <c r="X77" s="354"/>
      <c r="Y77" s="354"/>
      <c r="Z77" s="354"/>
      <c r="AA77" s="354"/>
    </row>
    <row r="78" spans="1:27" x14ac:dyDescent="0.35">
      <c r="A78" s="55"/>
      <c r="B78" s="5"/>
      <c r="C78" s="5"/>
      <c r="D78" s="5"/>
      <c r="E78" s="5"/>
      <c r="F78" s="57"/>
      <c r="G78" s="57"/>
      <c r="H78" s="57"/>
      <c r="I78" s="57"/>
      <c r="J78" s="354"/>
      <c r="K78" s="354"/>
      <c r="L78" s="354"/>
      <c r="M78" s="354"/>
      <c r="N78" s="354"/>
      <c r="O78" s="354"/>
      <c r="P78" s="354"/>
      <c r="Q78" s="354"/>
      <c r="R78" s="354"/>
      <c r="S78" s="354"/>
      <c r="T78" s="354"/>
      <c r="U78" s="354"/>
      <c r="V78" s="354"/>
      <c r="W78" s="354"/>
      <c r="X78" s="354"/>
      <c r="Y78" s="354"/>
      <c r="Z78" s="354"/>
      <c r="AA78" s="354"/>
    </row>
    <row r="79" spans="1:27" x14ac:dyDescent="0.35">
      <c r="A79" s="55"/>
      <c r="B79" s="5"/>
      <c r="C79" s="5"/>
      <c r="D79" s="5"/>
      <c r="E79" s="5"/>
      <c r="F79" s="57"/>
      <c r="G79" s="57"/>
      <c r="H79" s="57"/>
      <c r="I79" s="57"/>
      <c r="J79" s="354"/>
      <c r="K79" s="354"/>
      <c r="L79" s="354"/>
      <c r="M79" s="354"/>
      <c r="N79" s="354"/>
      <c r="O79" s="354"/>
      <c r="P79" s="354"/>
      <c r="Q79" s="354"/>
      <c r="R79" s="354"/>
      <c r="S79" s="354"/>
      <c r="T79" s="354"/>
      <c r="U79" s="354"/>
      <c r="V79" s="354"/>
      <c r="W79" s="354"/>
      <c r="X79" s="354"/>
      <c r="Y79" s="354"/>
      <c r="Z79" s="354"/>
      <c r="AA79" s="354"/>
    </row>
    <row r="80" spans="1:27" x14ac:dyDescent="0.35">
      <c r="A80" s="55"/>
      <c r="B80" s="5"/>
      <c r="C80" s="5"/>
      <c r="D80" s="5"/>
      <c r="E80" s="5"/>
      <c r="F80" s="57"/>
      <c r="G80" s="57"/>
      <c r="H80" s="57"/>
      <c r="I80" s="57"/>
      <c r="J80" s="354"/>
      <c r="K80" s="354"/>
      <c r="L80" s="354"/>
      <c r="M80" s="354"/>
      <c r="N80" s="354"/>
      <c r="O80" s="354"/>
      <c r="P80" s="354"/>
      <c r="Q80" s="354"/>
      <c r="R80" s="354"/>
      <c r="S80" s="354"/>
      <c r="T80" s="354"/>
      <c r="U80" s="354"/>
      <c r="V80" s="354"/>
      <c r="W80" s="354"/>
      <c r="X80" s="354"/>
      <c r="Y80" s="354"/>
      <c r="Z80" s="354"/>
      <c r="AA80" s="354"/>
    </row>
    <row r="81" spans="1:27" x14ac:dyDescent="0.35">
      <c r="A81" s="55"/>
      <c r="B81" s="5"/>
      <c r="C81" s="5"/>
      <c r="D81" s="5"/>
      <c r="E81" s="5"/>
      <c r="F81" s="57"/>
      <c r="G81" s="57"/>
      <c r="H81" s="57"/>
      <c r="I81" s="57"/>
      <c r="J81" s="354"/>
      <c r="K81" s="354"/>
      <c r="L81" s="354"/>
      <c r="M81" s="354"/>
      <c r="N81" s="354"/>
      <c r="O81" s="354"/>
      <c r="P81" s="354"/>
      <c r="Q81" s="354"/>
      <c r="R81" s="354"/>
      <c r="S81" s="354"/>
      <c r="T81" s="354"/>
      <c r="U81" s="354"/>
      <c r="V81" s="354"/>
      <c r="W81" s="354"/>
      <c r="X81" s="354"/>
      <c r="Y81" s="354"/>
      <c r="Z81" s="354"/>
      <c r="AA81" s="354"/>
    </row>
    <row r="82" spans="1:27" x14ac:dyDescent="0.35">
      <c r="A82" s="55"/>
      <c r="B82" s="5"/>
      <c r="C82" s="5"/>
      <c r="D82" s="5"/>
      <c r="E82" s="5"/>
      <c r="F82" s="57"/>
      <c r="G82" s="57"/>
      <c r="H82" s="57"/>
      <c r="I82" s="57"/>
      <c r="J82" s="354"/>
      <c r="K82" s="354"/>
      <c r="L82" s="354"/>
      <c r="M82" s="354"/>
      <c r="N82" s="354"/>
      <c r="O82" s="354"/>
      <c r="P82" s="354"/>
      <c r="Q82" s="354"/>
      <c r="R82" s="354"/>
      <c r="S82" s="354"/>
      <c r="T82" s="354"/>
      <c r="U82" s="354"/>
      <c r="V82" s="354"/>
      <c r="W82" s="354"/>
      <c r="X82" s="354"/>
      <c r="Y82" s="354"/>
      <c r="Z82" s="354"/>
      <c r="AA82" s="354"/>
    </row>
    <row r="83" spans="1:27" x14ac:dyDescent="0.35">
      <c r="A83" s="55"/>
      <c r="B83" s="5"/>
      <c r="C83" s="5"/>
      <c r="D83" s="5"/>
      <c r="E83" s="5"/>
      <c r="F83" s="57"/>
      <c r="G83" s="57"/>
      <c r="H83" s="57"/>
      <c r="I83" s="57"/>
      <c r="J83" s="354"/>
      <c r="K83" s="354"/>
      <c r="L83" s="354"/>
      <c r="M83" s="354"/>
      <c r="N83" s="354"/>
      <c r="O83" s="354"/>
      <c r="P83" s="354"/>
      <c r="Q83" s="354"/>
      <c r="R83" s="354"/>
      <c r="S83" s="354"/>
      <c r="T83" s="354"/>
      <c r="U83" s="354"/>
      <c r="V83" s="354"/>
      <c r="W83" s="354"/>
      <c r="X83" s="354"/>
      <c r="Y83" s="354"/>
      <c r="Z83" s="354"/>
      <c r="AA83" s="354"/>
    </row>
    <row r="84" spans="1:27" x14ac:dyDescent="0.35">
      <c r="A84" s="55"/>
      <c r="B84" s="5"/>
      <c r="C84" s="5"/>
      <c r="D84" s="5"/>
      <c r="E84" s="5"/>
      <c r="F84" s="57"/>
      <c r="G84" s="57"/>
      <c r="H84" s="57"/>
      <c r="I84" s="57"/>
      <c r="J84" s="354"/>
      <c r="K84" s="354"/>
      <c r="L84" s="354"/>
      <c r="M84" s="354"/>
      <c r="N84" s="354"/>
      <c r="O84" s="354"/>
      <c r="P84" s="354"/>
      <c r="Q84" s="354"/>
      <c r="R84" s="354"/>
      <c r="S84" s="354"/>
      <c r="T84" s="354"/>
      <c r="U84" s="354"/>
      <c r="V84" s="354"/>
      <c r="W84" s="354"/>
      <c r="X84" s="354"/>
      <c r="Y84" s="354"/>
      <c r="Z84" s="354"/>
      <c r="AA84" s="354"/>
    </row>
    <row r="85" spans="1:27" x14ac:dyDescent="0.35">
      <c r="A85" s="55"/>
      <c r="B85" s="5"/>
      <c r="C85" s="5"/>
      <c r="D85" s="5"/>
      <c r="E85" s="5"/>
      <c r="F85" s="57"/>
      <c r="G85" s="57"/>
      <c r="H85" s="57"/>
      <c r="I85" s="57"/>
      <c r="J85" s="354"/>
      <c r="K85" s="354"/>
      <c r="L85" s="354"/>
      <c r="M85" s="354"/>
      <c r="N85" s="354"/>
      <c r="O85" s="354"/>
      <c r="P85" s="354"/>
      <c r="Q85" s="354"/>
      <c r="R85" s="354"/>
      <c r="S85" s="354"/>
      <c r="T85" s="354"/>
      <c r="U85" s="354"/>
      <c r="V85" s="354"/>
      <c r="W85" s="354"/>
      <c r="X85" s="354"/>
      <c r="Y85" s="354"/>
      <c r="Z85" s="354"/>
      <c r="AA85" s="354"/>
    </row>
    <row r="86" spans="1:27" x14ac:dyDescent="0.35">
      <c r="A86" s="55"/>
      <c r="B86" s="5"/>
      <c r="C86" s="5"/>
      <c r="D86" s="5"/>
      <c r="E86" s="5"/>
      <c r="F86" s="57"/>
      <c r="G86" s="57"/>
      <c r="H86" s="57"/>
      <c r="I86" s="57"/>
      <c r="J86" s="354"/>
      <c r="K86" s="354"/>
      <c r="L86" s="354"/>
      <c r="M86" s="354"/>
      <c r="N86" s="354"/>
      <c r="O86" s="354"/>
      <c r="P86" s="354"/>
      <c r="Q86" s="354"/>
      <c r="R86" s="354"/>
      <c r="S86" s="354"/>
      <c r="T86" s="354"/>
      <c r="U86" s="354"/>
      <c r="V86" s="354"/>
      <c r="W86" s="354"/>
      <c r="X86" s="354"/>
      <c r="Y86" s="354"/>
      <c r="Z86" s="354"/>
      <c r="AA86" s="354"/>
    </row>
    <row r="87" spans="1:27" x14ac:dyDescent="0.35">
      <c r="A87" s="55"/>
      <c r="B87" s="5"/>
      <c r="C87" s="5"/>
      <c r="D87" s="5"/>
      <c r="E87" s="5"/>
      <c r="F87" s="57"/>
      <c r="G87" s="57"/>
      <c r="H87" s="57"/>
      <c r="I87" s="57"/>
      <c r="J87" s="354"/>
      <c r="K87" s="354"/>
      <c r="L87" s="354"/>
      <c r="M87" s="354"/>
      <c r="N87" s="354"/>
      <c r="O87" s="354"/>
      <c r="P87" s="354"/>
      <c r="Q87" s="354"/>
      <c r="R87" s="354"/>
      <c r="S87" s="354"/>
      <c r="T87" s="354"/>
      <c r="U87" s="354"/>
      <c r="V87" s="354"/>
      <c r="W87" s="354"/>
      <c r="X87" s="354"/>
      <c r="Y87" s="354"/>
      <c r="Z87" s="354"/>
      <c r="AA87" s="354"/>
    </row>
    <row r="88" spans="1:27" x14ac:dyDescent="0.35">
      <c r="A88" s="55"/>
      <c r="B88" s="5"/>
      <c r="C88" s="5"/>
      <c r="D88" s="5"/>
      <c r="E88" s="5"/>
      <c r="F88" s="57"/>
      <c r="G88" s="57"/>
      <c r="H88" s="57"/>
      <c r="I88" s="57"/>
      <c r="J88" s="354"/>
      <c r="K88" s="354"/>
      <c r="L88" s="354"/>
      <c r="M88" s="354"/>
      <c r="N88" s="354"/>
      <c r="O88" s="354"/>
      <c r="P88" s="354"/>
      <c r="Q88" s="354"/>
      <c r="R88" s="354"/>
      <c r="S88" s="354"/>
      <c r="T88" s="354"/>
      <c r="U88" s="354"/>
      <c r="V88" s="354"/>
      <c r="W88" s="354"/>
      <c r="X88" s="354"/>
      <c r="Y88" s="354"/>
      <c r="Z88" s="354"/>
      <c r="AA88" s="354"/>
    </row>
    <row r="89" spans="1:27" x14ac:dyDescent="0.35">
      <c r="A89" s="55"/>
      <c r="B89" s="5"/>
      <c r="C89" s="5"/>
      <c r="D89" s="5"/>
      <c r="E89" s="5"/>
      <c r="F89" s="57"/>
      <c r="G89" s="57"/>
      <c r="H89" s="57"/>
      <c r="I89" s="57"/>
      <c r="J89" s="354"/>
      <c r="K89" s="354"/>
      <c r="L89" s="354"/>
      <c r="M89" s="354"/>
      <c r="N89" s="354"/>
      <c r="O89" s="354"/>
      <c r="P89" s="354"/>
      <c r="Q89" s="354"/>
      <c r="R89" s="354"/>
      <c r="S89" s="354"/>
      <c r="T89" s="354"/>
      <c r="U89" s="354"/>
      <c r="V89" s="354"/>
      <c r="W89" s="354"/>
      <c r="X89" s="354"/>
      <c r="Y89" s="354"/>
      <c r="Z89" s="354"/>
      <c r="AA89" s="354"/>
    </row>
    <row r="90" spans="1:27" x14ac:dyDescent="0.35">
      <c r="A90" s="55"/>
      <c r="B90" s="5"/>
      <c r="C90" s="5"/>
      <c r="D90" s="5"/>
      <c r="E90" s="5"/>
      <c r="F90" s="57"/>
      <c r="G90" s="57"/>
      <c r="H90" s="57"/>
      <c r="I90" s="57"/>
      <c r="J90" s="354"/>
      <c r="K90" s="354"/>
      <c r="L90" s="354"/>
      <c r="M90" s="354"/>
      <c r="N90" s="354"/>
      <c r="O90" s="354"/>
      <c r="P90" s="354"/>
      <c r="Q90" s="354"/>
      <c r="R90" s="354"/>
      <c r="S90" s="354"/>
      <c r="T90" s="354"/>
      <c r="U90" s="354"/>
      <c r="V90" s="354"/>
      <c r="W90" s="354"/>
      <c r="X90" s="354"/>
      <c r="Y90" s="354"/>
      <c r="Z90" s="354"/>
      <c r="AA90" s="354"/>
    </row>
    <row r="91" spans="1:27" x14ac:dyDescent="0.35">
      <c r="A91" s="55"/>
      <c r="B91" s="5"/>
      <c r="C91" s="5"/>
      <c r="D91" s="5"/>
      <c r="E91" s="5"/>
      <c r="F91" s="57"/>
      <c r="G91" s="57"/>
      <c r="H91" s="57"/>
      <c r="I91" s="57"/>
      <c r="J91" s="354"/>
      <c r="K91" s="354"/>
      <c r="L91" s="354"/>
      <c r="M91" s="354"/>
      <c r="N91" s="354"/>
      <c r="O91" s="354"/>
      <c r="P91" s="354"/>
      <c r="Q91" s="354"/>
      <c r="R91" s="354"/>
      <c r="S91" s="354"/>
      <c r="T91" s="354"/>
      <c r="U91" s="354"/>
      <c r="V91" s="354"/>
      <c r="W91" s="354"/>
      <c r="X91" s="354"/>
      <c r="Y91" s="354"/>
      <c r="Z91" s="354"/>
      <c r="AA91" s="354"/>
    </row>
    <row r="92" spans="1:27" x14ac:dyDescent="0.35">
      <c r="A92" s="55"/>
      <c r="B92" s="5"/>
      <c r="C92" s="5"/>
      <c r="D92" s="5"/>
      <c r="E92" s="5"/>
      <c r="F92" s="57"/>
      <c r="G92" s="57"/>
      <c r="H92" s="57"/>
      <c r="I92" s="57"/>
      <c r="J92" s="354"/>
      <c r="K92" s="354"/>
      <c r="L92" s="354"/>
      <c r="M92" s="354"/>
      <c r="N92" s="354"/>
      <c r="O92" s="354"/>
      <c r="P92" s="354"/>
      <c r="Q92" s="354"/>
      <c r="R92" s="354"/>
      <c r="S92" s="354"/>
      <c r="T92" s="354"/>
      <c r="U92" s="354"/>
      <c r="V92" s="354"/>
      <c r="W92" s="354"/>
      <c r="X92" s="354"/>
      <c r="Y92" s="354"/>
      <c r="Z92" s="354"/>
      <c r="AA92" s="354"/>
    </row>
    <row r="93" spans="1:27" x14ac:dyDescent="0.35">
      <c r="A93" s="55"/>
      <c r="B93" s="5"/>
      <c r="C93" s="5"/>
      <c r="D93" s="5"/>
      <c r="E93" s="5"/>
      <c r="F93" s="57"/>
      <c r="G93" s="57"/>
      <c r="H93" s="57"/>
      <c r="I93" s="57"/>
      <c r="J93" s="354"/>
      <c r="K93" s="354"/>
      <c r="L93" s="354"/>
      <c r="M93" s="354"/>
      <c r="N93" s="354"/>
      <c r="O93" s="354"/>
      <c r="P93" s="354"/>
      <c r="Q93" s="354"/>
      <c r="R93" s="354"/>
      <c r="S93" s="354"/>
      <c r="T93" s="354"/>
      <c r="U93" s="354"/>
      <c r="V93" s="354"/>
      <c r="W93" s="354"/>
      <c r="X93" s="354"/>
      <c r="Y93" s="354"/>
      <c r="Z93" s="354"/>
      <c r="AA93" s="354"/>
    </row>
    <row r="94" spans="1:27" x14ac:dyDescent="0.35">
      <c r="A94" s="55"/>
      <c r="B94" s="5"/>
      <c r="C94" s="5"/>
      <c r="D94" s="5"/>
      <c r="E94" s="5"/>
      <c r="F94" s="57"/>
      <c r="G94" s="57"/>
      <c r="H94" s="57"/>
      <c r="I94" s="57"/>
      <c r="J94" s="354"/>
      <c r="K94" s="354"/>
      <c r="L94" s="354"/>
      <c r="M94" s="354"/>
      <c r="N94" s="354"/>
      <c r="O94" s="354"/>
      <c r="P94" s="354"/>
      <c r="Q94" s="354"/>
      <c r="R94" s="354"/>
      <c r="S94" s="354"/>
      <c r="T94" s="354"/>
      <c r="U94" s="354"/>
      <c r="V94" s="354"/>
      <c r="W94" s="354"/>
      <c r="X94" s="354"/>
      <c r="Y94" s="354"/>
      <c r="Z94" s="354"/>
      <c r="AA94" s="354"/>
    </row>
    <row r="95" spans="1:27" x14ac:dyDescent="0.35">
      <c r="A95" s="55"/>
      <c r="B95" s="5"/>
      <c r="C95" s="5"/>
      <c r="D95" s="5"/>
      <c r="E95" s="5"/>
      <c r="F95" s="57"/>
      <c r="G95" s="57"/>
      <c r="H95" s="57"/>
      <c r="I95" s="57"/>
      <c r="J95" s="354"/>
      <c r="K95" s="354"/>
      <c r="L95" s="354"/>
      <c r="M95" s="354"/>
      <c r="N95" s="354"/>
      <c r="O95" s="354"/>
      <c r="P95" s="354"/>
      <c r="Q95" s="354"/>
      <c r="R95" s="354"/>
      <c r="S95" s="354"/>
      <c r="T95" s="354"/>
      <c r="U95" s="354"/>
      <c r="V95" s="354"/>
      <c r="W95" s="354"/>
      <c r="X95" s="354"/>
      <c r="Y95" s="354"/>
      <c r="Z95" s="354"/>
      <c r="AA95" s="354"/>
    </row>
    <row r="96" spans="1:27" x14ac:dyDescent="0.35">
      <c r="A96" s="55"/>
      <c r="B96" s="5"/>
      <c r="C96" s="5"/>
      <c r="D96" s="5"/>
      <c r="E96" s="5"/>
      <c r="F96" s="57"/>
      <c r="G96" s="57"/>
      <c r="H96" s="57"/>
      <c r="I96" s="57"/>
      <c r="J96" s="354"/>
      <c r="K96" s="354"/>
      <c r="L96" s="354"/>
      <c r="M96" s="354"/>
      <c r="N96" s="354"/>
      <c r="O96" s="354"/>
      <c r="P96" s="354"/>
      <c r="Q96" s="354"/>
      <c r="R96" s="354"/>
      <c r="S96" s="354"/>
      <c r="T96" s="354"/>
      <c r="U96" s="354"/>
      <c r="V96" s="354"/>
      <c r="W96" s="354"/>
      <c r="X96" s="354"/>
      <c r="Y96" s="354"/>
      <c r="Z96" s="354"/>
      <c r="AA96" s="354"/>
    </row>
    <row r="97" spans="1:27" x14ac:dyDescent="0.35">
      <c r="A97" s="55"/>
      <c r="B97" s="5"/>
      <c r="C97" s="5"/>
      <c r="D97" s="5"/>
      <c r="E97" s="5"/>
      <c r="F97" s="57"/>
      <c r="G97" s="57"/>
      <c r="H97" s="57"/>
      <c r="I97" s="57"/>
      <c r="J97" s="354"/>
      <c r="K97" s="354"/>
      <c r="L97" s="354"/>
      <c r="M97" s="354"/>
      <c r="N97" s="354"/>
      <c r="O97" s="354"/>
      <c r="P97" s="354"/>
      <c r="Q97" s="354"/>
      <c r="R97" s="354"/>
      <c r="S97" s="354"/>
      <c r="T97" s="354"/>
      <c r="U97" s="354"/>
      <c r="V97" s="354"/>
      <c r="W97" s="354"/>
      <c r="X97" s="354"/>
      <c r="Y97" s="354"/>
      <c r="Z97" s="354"/>
      <c r="AA97" s="354"/>
    </row>
    <row r="98" spans="1:27" x14ac:dyDescent="0.35">
      <c r="A98" s="55"/>
      <c r="B98" s="5"/>
      <c r="C98" s="5"/>
      <c r="D98" s="5"/>
      <c r="E98" s="5"/>
      <c r="F98" s="57"/>
      <c r="G98" s="57"/>
      <c r="H98" s="57"/>
      <c r="I98" s="57"/>
      <c r="J98" s="354"/>
      <c r="K98" s="354"/>
      <c r="L98" s="354"/>
      <c r="M98" s="354"/>
      <c r="N98" s="354"/>
      <c r="O98" s="354"/>
      <c r="P98" s="354"/>
      <c r="Q98" s="354"/>
      <c r="R98" s="354"/>
      <c r="S98" s="354"/>
      <c r="T98" s="354"/>
      <c r="U98" s="354"/>
      <c r="V98" s="354"/>
      <c r="W98" s="354"/>
      <c r="X98" s="354"/>
      <c r="Y98" s="354"/>
      <c r="Z98" s="354"/>
      <c r="AA98" s="354"/>
    </row>
    <row r="99" spans="1:27" x14ac:dyDescent="0.35">
      <c r="A99" s="55"/>
      <c r="B99" s="5"/>
      <c r="C99" s="5"/>
      <c r="D99" s="5"/>
      <c r="E99" s="5"/>
      <c r="F99" s="57"/>
      <c r="G99" s="57"/>
      <c r="H99" s="57"/>
      <c r="I99" s="57"/>
      <c r="J99" s="354"/>
      <c r="K99" s="354"/>
      <c r="L99" s="354"/>
      <c r="M99" s="354"/>
      <c r="N99" s="354"/>
      <c r="O99" s="354"/>
      <c r="P99" s="354"/>
      <c r="Q99" s="354"/>
      <c r="R99" s="354"/>
      <c r="S99" s="354"/>
      <c r="T99" s="354"/>
      <c r="U99" s="354"/>
      <c r="V99" s="354"/>
      <c r="W99" s="354"/>
      <c r="X99" s="354"/>
      <c r="Y99" s="354"/>
      <c r="Z99" s="354"/>
      <c r="AA99" s="354"/>
    </row>
    <row r="100" spans="1:27" x14ac:dyDescent="0.35">
      <c r="A100" s="55"/>
      <c r="B100" s="5"/>
      <c r="C100" s="5"/>
      <c r="D100" s="5"/>
      <c r="E100" s="5"/>
      <c r="F100" s="57"/>
      <c r="G100" s="57"/>
      <c r="H100" s="57"/>
      <c r="I100" s="57"/>
      <c r="J100" s="354"/>
      <c r="K100" s="354"/>
      <c r="L100" s="354"/>
      <c r="M100" s="354"/>
      <c r="N100" s="354"/>
      <c r="O100" s="354"/>
      <c r="P100" s="354"/>
      <c r="Q100" s="354"/>
      <c r="R100" s="354"/>
      <c r="S100" s="354"/>
      <c r="T100" s="354"/>
      <c r="U100" s="354"/>
      <c r="V100" s="354"/>
      <c r="W100" s="354"/>
      <c r="X100" s="354"/>
      <c r="Y100" s="354"/>
      <c r="Z100" s="354"/>
      <c r="AA100" s="354"/>
    </row>
    <row r="101" spans="1:27" x14ac:dyDescent="0.35">
      <c r="A101" s="55"/>
      <c r="B101" s="5"/>
      <c r="C101" s="5"/>
      <c r="D101" s="5"/>
      <c r="E101" s="5"/>
      <c r="F101" s="57"/>
      <c r="G101" s="57"/>
      <c r="H101" s="57"/>
      <c r="I101" s="57"/>
      <c r="J101" s="354"/>
      <c r="K101" s="354"/>
      <c r="L101" s="354"/>
      <c r="M101" s="354"/>
      <c r="N101" s="354"/>
      <c r="O101" s="354"/>
      <c r="P101" s="354"/>
      <c r="Q101" s="354"/>
      <c r="R101" s="354"/>
      <c r="S101" s="354"/>
      <c r="T101" s="354"/>
      <c r="U101" s="354"/>
      <c r="V101" s="354"/>
      <c r="W101" s="354"/>
      <c r="X101" s="354"/>
      <c r="Y101" s="354"/>
      <c r="Z101" s="354"/>
      <c r="AA101" s="354"/>
    </row>
    <row r="102" spans="1:27" x14ac:dyDescent="0.35">
      <c r="A102" s="55"/>
      <c r="B102" s="5"/>
      <c r="C102" s="5"/>
      <c r="D102" s="5"/>
      <c r="E102" s="5"/>
      <c r="F102" s="57"/>
      <c r="G102" s="57"/>
      <c r="H102" s="57"/>
      <c r="I102" s="57"/>
      <c r="J102" s="354"/>
      <c r="K102" s="354"/>
      <c r="L102" s="354"/>
      <c r="M102" s="354"/>
      <c r="N102" s="354"/>
      <c r="O102" s="354"/>
      <c r="P102" s="354"/>
      <c r="Q102" s="354"/>
      <c r="R102" s="354"/>
      <c r="S102" s="354"/>
      <c r="T102" s="354"/>
      <c r="U102" s="354"/>
      <c r="V102" s="354"/>
      <c r="W102" s="354"/>
      <c r="X102" s="354"/>
      <c r="Y102" s="354"/>
      <c r="Z102" s="354"/>
      <c r="AA102" s="354"/>
    </row>
    <row r="103" spans="1:27" x14ac:dyDescent="0.35">
      <c r="A103" s="55"/>
      <c r="B103" s="5"/>
      <c r="C103" s="5"/>
      <c r="D103" s="5"/>
      <c r="E103" s="5"/>
      <c r="F103" s="57"/>
      <c r="G103" s="57"/>
      <c r="H103" s="57"/>
      <c r="I103" s="57"/>
      <c r="J103" s="354"/>
      <c r="K103" s="354"/>
      <c r="L103" s="354"/>
      <c r="M103" s="354"/>
      <c r="N103" s="354"/>
      <c r="O103" s="354"/>
      <c r="P103" s="354"/>
      <c r="Q103" s="354"/>
      <c r="R103" s="354"/>
      <c r="S103" s="354"/>
      <c r="T103" s="354"/>
      <c r="U103" s="354"/>
      <c r="V103" s="354"/>
      <c r="W103" s="354"/>
      <c r="X103" s="354"/>
      <c r="Y103" s="354"/>
      <c r="Z103" s="354"/>
      <c r="AA103" s="354"/>
    </row>
    <row r="104" spans="1:27" x14ac:dyDescent="0.35">
      <c r="A104" s="55"/>
      <c r="B104" s="5"/>
      <c r="C104" s="5"/>
      <c r="D104" s="5"/>
      <c r="E104" s="5"/>
      <c r="F104" s="57"/>
      <c r="G104" s="57"/>
      <c r="H104" s="57"/>
      <c r="I104" s="57"/>
      <c r="J104" s="354"/>
      <c r="K104" s="354"/>
      <c r="L104" s="354"/>
      <c r="M104" s="354"/>
      <c r="N104" s="354"/>
      <c r="O104" s="354"/>
      <c r="P104" s="354"/>
      <c r="Q104" s="354"/>
      <c r="R104" s="354"/>
      <c r="S104" s="354"/>
      <c r="T104" s="354"/>
      <c r="U104" s="354"/>
      <c r="V104" s="354"/>
      <c r="W104" s="354"/>
      <c r="X104" s="354"/>
      <c r="Y104" s="354"/>
      <c r="Z104" s="354"/>
      <c r="AA104" s="354"/>
    </row>
    <row r="105" spans="1:27" x14ac:dyDescent="0.35">
      <c r="A105" s="55"/>
      <c r="B105" s="5"/>
      <c r="C105" s="5"/>
      <c r="D105" s="5"/>
      <c r="E105" s="5"/>
      <c r="F105" s="57"/>
      <c r="G105" s="57"/>
      <c r="H105" s="57"/>
      <c r="I105" s="57"/>
      <c r="J105" s="354"/>
      <c r="K105" s="354"/>
      <c r="L105" s="354"/>
      <c r="M105" s="354"/>
      <c r="N105" s="354"/>
      <c r="O105" s="354"/>
      <c r="P105" s="354"/>
      <c r="Q105" s="354"/>
      <c r="R105" s="354"/>
      <c r="S105" s="354"/>
      <c r="T105" s="354"/>
      <c r="U105" s="354"/>
      <c r="V105" s="354"/>
      <c r="W105" s="354"/>
      <c r="X105" s="354"/>
      <c r="Y105" s="354"/>
      <c r="Z105" s="354"/>
      <c r="AA105" s="354"/>
    </row>
    <row r="106" spans="1:27" x14ac:dyDescent="0.35">
      <c r="A106" s="55"/>
      <c r="B106" s="5"/>
      <c r="C106" s="5"/>
      <c r="D106" s="5"/>
      <c r="E106" s="5"/>
      <c r="F106" s="57"/>
      <c r="G106" s="57"/>
      <c r="H106" s="57"/>
      <c r="I106" s="57"/>
      <c r="J106" s="354"/>
      <c r="K106" s="354"/>
      <c r="L106" s="354"/>
      <c r="M106" s="354"/>
      <c r="N106" s="354"/>
      <c r="O106" s="354"/>
      <c r="P106" s="354"/>
      <c r="Q106" s="354"/>
      <c r="R106" s="354"/>
      <c r="S106" s="354"/>
      <c r="T106" s="354"/>
      <c r="U106" s="354"/>
      <c r="V106" s="354"/>
      <c r="W106" s="354"/>
      <c r="X106" s="354"/>
      <c r="Y106" s="354"/>
      <c r="Z106" s="354"/>
      <c r="AA106" s="354"/>
    </row>
    <row r="107" spans="1:27" x14ac:dyDescent="0.35">
      <c r="A107" s="55"/>
      <c r="B107" s="5"/>
      <c r="C107" s="5"/>
      <c r="D107" s="5"/>
      <c r="E107" s="5"/>
      <c r="F107" s="57"/>
      <c r="G107" s="57"/>
      <c r="H107" s="57"/>
      <c r="I107" s="57"/>
      <c r="J107" s="354"/>
      <c r="K107" s="354"/>
      <c r="L107" s="354"/>
      <c r="M107" s="354"/>
      <c r="N107" s="354"/>
      <c r="O107" s="354"/>
      <c r="P107" s="354"/>
      <c r="Q107" s="354"/>
      <c r="R107" s="354"/>
      <c r="S107" s="354"/>
      <c r="T107" s="354"/>
      <c r="U107" s="354"/>
      <c r="V107" s="354"/>
      <c r="W107" s="354"/>
      <c r="X107" s="354"/>
      <c r="Y107" s="354"/>
      <c r="Z107" s="354"/>
      <c r="AA107" s="354"/>
    </row>
    <row r="108" spans="1:27" x14ac:dyDescent="0.35">
      <c r="A108" s="55"/>
      <c r="B108" s="5"/>
      <c r="C108" s="5"/>
      <c r="D108" s="5"/>
      <c r="E108" s="5"/>
      <c r="F108" s="57"/>
      <c r="G108" s="57"/>
      <c r="H108" s="57"/>
      <c r="I108" s="57"/>
      <c r="J108" s="354"/>
      <c r="K108" s="354"/>
      <c r="L108" s="354"/>
      <c r="M108" s="354"/>
      <c r="N108" s="354"/>
      <c r="O108" s="354"/>
      <c r="P108" s="354"/>
      <c r="Q108" s="354"/>
      <c r="R108" s="354"/>
      <c r="S108" s="354"/>
      <c r="T108" s="354"/>
      <c r="U108" s="354"/>
      <c r="V108" s="354"/>
      <c r="W108" s="354"/>
      <c r="X108" s="354"/>
      <c r="Y108" s="354"/>
      <c r="Z108" s="354"/>
      <c r="AA108" s="354"/>
    </row>
    <row r="109" spans="1:27" x14ac:dyDescent="0.35">
      <c r="A109" s="55"/>
      <c r="B109" s="5"/>
      <c r="C109" s="5"/>
      <c r="D109" s="5"/>
      <c r="E109" s="5"/>
      <c r="F109" s="57"/>
      <c r="G109" s="57"/>
      <c r="H109" s="57"/>
      <c r="I109" s="57"/>
      <c r="J109" s="354"/>
      <c r="K109" s="354"/>
      <c r="L109" s="354"/>
      <c r="M109" s="354"/>
      <c r="N109" s="354"/>
      <c r="O109" s="354"/>
      <c r="P109" s="354"/>
      <c r="Q109" s="354"/>
      <c r="R109" s="354"/>
      <c r="S109" s="354"/>
      <c r="T109" s="354"/>
      <c r="U109" s="354"/>
      <c r="V109" s="354"/>
      <c r="W109" s="354"/>
      <c r="X109" s="354"/>
      <c r="Y109" s="354"/>
      <c r="Z109" s="354"/>
      <c r="AA109" s="354"/>
    </row>
    <row r="110" spans="1:27" x14ac:dyDescent="0.35">
      <c r="A110" s="55"/>
      <c r="B110" s="5"/>
      <c r="C110" s="5"/>
      <c r="D110" s="5"/>
      <c r="E110" s="5"/>
      <c r="F110" s="57"/>
      <c r="G110" s="57"/>
      <c r="H110" s="57"/>
      <c r="I110" s="57"/>
      <c r="J110" s="354"/>
      <c r="K110" s="354"/>
      <c r="L110" s="354"/>
      <c r="M110" s="354"/>
      <c r="N110" s="354"/>
      <c r="O110" s="354"/>
      <c r="P110" s="354"/>
      <c r="Q110" s="354"/>
      <c r="R110" s="354"/>
      <c r="S110" s="354"/>
      <c r="T110" s="354"/>
      <c r="U110" s="354"/>
      <c r="V110" s="354"/>
      <c r="W110" s="354"/>
      <c r="X110" s="354"/>
      <c r="Y110" s="354"/>
      <c r="Z110" s="354"/>
      <c r="AA110" s="354"/>
    </row>
    <row r="111" spans="1:27" x14ac:dyDescent="0.35">
      <c r="A111" s="55"/>
      <c r="B111" s="5"/>
      <c r="C111" s="5"/>
      <c r="D111" s="5"/>
      <c r="E111" s="5"/>
      <c r="F111" s="57"/>
      <c r="G111" s="57"/>
      <c r="H111" s="57"/>
      <c r="I111" s="57"/>
      <c r="J111" s="354"/>
      <c r="K111" s="354"/>
      <c r="L111" s="354"/>
      <c r="M111" s="354"/>
      <c r="N111" s="354"/>
      <c r="O111" s="354"/>
      <c r="P111" s="354"/>
      <c r="Q111" s="354"/>
      <c r="R111" s="354"/>
      <c r="S111" s="354"/>
      <c r="T111" s="354"/>
      <c r="U111" s="354"/>
      <c r="V111" s="354"/>
      <c r="W111" s="354"/>
      <c r="X111" s="354"/>
      <c r="Y111" s="354"/>
      <c r="Z111" s="354"/>
      <c r="AA111" s="354"/>
    </row>
    <row r="112" spans="1:27" x14ac:dyDescent="0.35">
      <c r="A112" s="55"/>
      <c r="B112" s="5"/>
      <c r="C112" s="5"/>
      <c r="D112" s="5"/>
      <c r="E112" s="5"/>
      <c r="F112" s="57"/>
      <c r="G112" s="57"/>
      <c r="H112" s="57"/>
      <c r="I112" s="57"/>
      <c r="J112" s="354"/>
      <c r="K112" s="354"/>
      <c r="L112" s="354"/>
      <c r="M112" s="354"/>
      <c r="N112" s="354"/>
      <c r="O112" s="354"/>
      <c r="P112" s="354"/>
      <c r="Q112" s="354"/>
      <c r="R112" s="354"/>
      <c r="S112" s="354"/>
      <c r="T112" s="354"/>
      <c r="U112" s="354"/>
      <c r="V112" s="354"/>
      <c r="W112" s="354"/>
      <c r="X112" s="354"/>
      <c r="Y112" s="354"/>
      <c r="Z112" s="354"/>
      <c r="AA112" s="354"/>
    </row>
    <row r="113" spans="1:27" x14ac:dyDescent="0.35">
      <c r="A113" s="55"/>
      <c r="B113" s="5"/>
      <c r="C113" s="5"/>
      <c r="D113" s="5"/>
      <c r="E113" s="5"/>
      <c r="F113" s="57"/>
      <c r="G113" s="57"/>
      <c r="H113" s="57"/>
      <c r="I113" s="57"/>
      <c r="J113" s="354"/>
      <c r="K113" s="354"/>
      <c r="L113" s="354"/>
      <c r="M113" s="354"/>
      <c r="N113" s="354"/>
      <c r="O113" s="354"/>
      <c r="P113" s="354"/>
      <c r="Q113" s="354"/>
      <c r="R113" s="354"/>
      <c r="S113" s="354"/>
      <c r="T113" s="354"/>
      <c r="U113" s="354"/>
      <c r="V113" s="354"/>
      <c r="W113" s="354"/>
      <c r="X113" s="354"/>
      <c r="Y113" s="354"/>
      <c r="Z113" s="354"/>
      <c r="AA113" s="354"/>
    </row>
    <row r="114" spans="1:27" x14ac:dyDescent="0.35">
      <c r="A114" s="55"/>
      <c r="B114" s="5"/>
      <c r="C114" s="5"/>
      <c r="D114" s="5"/>
      <c r="E114" s="5"/>
      <c r="F114" s="57"/>
      <c r="G114" s="57"/>
      <c r="H114" s="57"/>
      <c r="I114" s="57"/>
      <c r="J114" s="354"/>
      <c r="K114" s="354"/>
      <c r="L114" s="354"/>
      <c r="M114" s="354"/>
      <c r="N114" s="354"/>
      <c r="O114" s="354"/>
      <c r="P114" s="354"/>
      <c r="Q114" s="354"/>
      <c r="R114" s="354"/>
      <c r="S114" s="354"/>
      <c r="T114" s="354"/>
      <c r="U114" s="354"/>
      <c r="V114" s="354"/>
      <c r="W114" s="354"/>
      <c r="X114" s="354"/>
      <c r="Y114" s="354"/>
      <c r="Z114" s="354"/>
      <c r="AA114" s="354"/>
    </row>
    <row r="115" spans="1:27" x14ac:dyDescent="0.35">
      <c r="A115" s="55"/>
      <c r="B115" s="5"/>
      <c r="C115" s="5"/>
      <c r="D115" s="5"/>
      <c r="E115" s="5"/>
      <c r="F115" s="57"/>
      <c r="G115" s="57"/>
      <c r="H115" s="57"/>
      <c r="I115" s="57"/>
      <c r="J115" s="354"/>
      <c r="K115" s="354"/>
      <c r="L115" s="354"/>
      <c r="M115" s="354"/>
      <c r="N115" s="354"/>
      <c r="O115" s="354"/>
      <c r="P115" s="354"/>
      <c r="Q115" s="354"/>
      <c r="R115" s="354"/>
      <c r="S115" s="354"/>
      <c r="T115" s="354"/>
      <c r="U115" s="354"/>
      <c r="V115" s="354"/>
      <c r="W115" s="354"/>
      <c r="X115" s="354"/>
      <c r="Y115" s="354"/>
      <c r="Z115" s="354"/>
      <c r="AA115" s="354"/>
    </row>
    <row r="116" spans="1:27" x14ac:dyDescent="0.35">
      <c r="A116" s="55"/>
      <c r="B116" s="5"/>
      <c r="C116" s="5"/>
      <c r="D116" s="5"/>
      <c r="E116" s="5"/>
      <c r="F116" s="57"/>
      <c r="G116" s="57"/>
      <c r="H116" s="57"/>
      <c r="I116" s="57"/>
      <c r="J116" s="354"/>
      <c r="K116" s="354"/>
      <c r="L116" s="354"/>
      <c r="M116" s="354"/>
      <c r="N116" s="354"/>
      <c r="O116" s="354"/>
      <c r="P116" s="354"/>
      <c r="Q116" s="354"/>
      <c r="R116" s="354"/>
      <c r="S116" s="354"/>
      <c r="T116" s="354"/>
      <c r="U116" s="354"/>
      <c r="V116" s="354"/>
      <c r="W116" s="354"/>
      <c r="X116" s="354"/>
      <c r="Y116" s="354"/>
      <c r="Z116" s="354"/>
      <c r="AA116" s="354"/>
    </row>
    <row r="117" spans="1:27" x14ac:dyDescent="0.35">
      <c r="A117" s="55"/>
      <c r="B117" s="5"/>
      <c r="C117" s="5"/>
      <c r="D117" s="5"/>
      <c r="E117" s="5"/>
      <c r="F117" s="57"/>
      <c r="G117" s="57"/>
      <c r="H117" s="57"/>
      <c r="I117" s="57"/>
      <c r="J117" s="354"/>
      <c r="K117" s="354"/>
      <c r="L117" s="354"/>
      <c r="M117" s="354"/>
      <c r="N117" s="354"/>
      <c r="O117" s="354"/>
      <c r="P117" s="354"/>
      <c r="Q117" s="354"/>
      <c r="R117" s="354"/>
      <c r="S117" s="354"/>
      <c r="T117" s="354"/>
      <c r="U117" s="354"/>
      <c r="V117" s="354"/>
      <c r="W117" s="354"/>
      <c r="X117" s="354"/>
      <c r="Y117" s="354"/>
      <c r="Z117" s="354"/>
      <c r="AA117" s="354"/>
    </row>
    <row r="118" spans="1:27" x14ac:dyDescent="0.35">
      <c r="A118" s="55"/>
      <c r="B118" s="5"/>
      <c r="C118" s="5"/>
      <c r="D118" s="5"/>
      <c r="E118" s="5"/>
      <c r="F118" s="57"/>
      <c r="G118" s="57"/>
      <c r="H118" s="57"/>
      <c r="I118" s="57"/>
      <c r="J118" s="354"/>
      <c r="K118" s="354"/>
      <c r="L118" s="354"/>
      <c r="M118" s="354"/>
      <c r="N118" s="354"/>
      <c r="O118" s="354"/>
      <c r="P118" s="354"/>
      <c r="Q118" s="354"/>
      <c r="R118" s="354"/>
      <c r="S118" s="354"/>
      <c r="T118" s="354"/>
      <c r="U118" s="354"/>
      <c r="V118" s="354"/>
      <c r="W118" s="354"/>
      <c r="X118" s="354"/>
      <c r="Y118" s="354"/>
      <c r="Z118" s="354"/>
      <c r="AA118" s="354"/>
    </row>
    <row r="119" spans="1:27" x14ac:dyDescent="0.35">
      <c r="A119" s="55"/>
      <c r="B119" s="5"/>
      <c r="C119" s="5"/>
      <c r="D119" s="5"/>
      <c r="E119" s="5"/>
      <c r="F119" s="57"/>
      <c r="G119" s="57"/>
      <c r="H119" s="57"/>
      <c r="I119" s="57"/>
      <c r="J119" s="354"/>
      <c r="K119" s="354"/>
      <c r="L119" s="354"/>
      <c r="M119" s="354"/>
      <c r="N119" s="354"/>
      <c r="O119" s="354"/>
      <c r="P119" s="354"/>
      <c r="Q119" s="354"/>
      <c r="R119" s="354"/>
      <c r="S119" s="354"/>
      <c r="T119" s="354"/>
      <c r="U119" s="354"/>
      <c r="V119" s="354"/>
      <c r="W119" s="354"/>
      <c r="X119" s="354"/>
      <c r="Y119" s="354"/>
      <c r="Z119" s="354"/>
      <c r="AA119" s="354"/>
    </row>
    <row r="120" spans="1:27" x14ac:dyDescent="0.35">
      <c r="A120" s="55"/>
      <c r="B120" s="5"/>
      <c r="C120" s="5"/>
      <c r="D120" s="5"/>
      <c r="E120" s="5"/>
      <c r="F120" s="57"/>
      <c r="G120" s="57"/>
      <c r="H120" s="57"/>
      <c r="I120" s="57"/>
      <c r="J120" s="354"/>
      <c r="K120" s="354"/>
      <c r="L120" s="354"/>
      <c r="M120" s="354"/>
      <c r="N120" s="354"/>
      <c r="O120" s="354"/>
      <c r="P120" s="354"/>
      <c r="Q120" s="354"/>
      <c r="R120" s="354"/>
      <c r="S120" s="354"/>
      <c r="T120" s="354"/>
      <c r="U120" s="354"/>
      <c r="V120" s="354"/>
      <c r="W120" s="354"/>
      <c r="X120" s="354"/>
      <c r="Y120" s="354"/>
      <c r="Z120" s="354"/>
      <c r="AA120" s="354"/>
    </row>
    <row r="121" spans="1:27" x14ac:dyDescent="0.35">
      <c r="A121" s="55"/>
      <c r="B121" s="5"/>
      <c r="C121" s="5"/>
      <c r="D121" s="5"/>
      <c r="E121" s="5"/>
      <c r="F121" s="57"/>
      <c r="G121" s="57"/>
      <c r="H121" s="57"/>
      <c r="I121" s="57"/>
      <c r="J121" s="354"/>
      <c r="K121" s="354"/>
      <c r="L121" s="354"/>
      <c r="M121" s="354"/>
      <c r="N121" s="354"/>
      <c r="O121" s="354"/>
      <c r="P121" s="354"/>
      <c r="Q121" s="354"/>
      <c r="R121" s="354"/>
      <c r="S121" s="354"/>
      <c r="T121" s="354"/>
      <c r="U121" s="354"/>
      <c r="V121" s="354"/>
      <c r="W121" s="354"/>
      <c r="X121" s="354"/>
      <c r="Y121" s="354"/>
      <c r="Z121" s="354"/>
      <c r="AA121" s="354"/>
    </row>
    <row r="122" spans="1:27" x14ac:dyDescent="0.35">
      <c r="A122" s="55"/>
      <c r="B122" s="5"/>
      <c r="C122" s="5"/>
      <c r="D122" s="5"/>
      <c r="E122" s="5"/>
      <c r="F122" s="57"/>
      <c r="G122" s="57"/>
      <c r="H122" s="57"/>
      <c r="I122" s="57"/>
      <c r="J122" s="354"/>
      <c r="K122" s="354"/>
      <c r="L122" s="354"/>
      <c r="M122" s="354"/>
      <c r="N122" s="354"/>
      <c r="O122" s="354"/>
      <c r="P122" s="354"/>
      <c r="Q122" s="354"/>
      <c r="R122" s="354"/>
      <c r="S122" s="354"/>
      <c r="T122" s="354"/>
      <c r="U122" s="354"/>
      <c r="V122" s="354"/>
      <c r="W122" s="354"/>
      <c r="X122" s="354"/>
      <c r="Y122" s="354"/>
      <c r="Z122" s="354"/>
      <c r="AA122" s="354"/>
    </row>
    <row r="123" spans="1:27" x14ac:dyDescent="0.35">
      <c r="A123" s="55"/>
      <c r="B123" s="5"/>
      <c r="C123" s="5"/>
      <c r="D123" s="5"/>
      <c r="E123" s="5"/>
      <c r="F123" s="57"/>
      <c r="G123" s="57"/>
      <c r="H123" s="57"/>
      <c r="I123" s="57"/>
      <c r="J123" s="354"/>
      <c r="K123" s="354"/>
      <c r="L123" s="354"/>
      <c r="M123" s="354"/>
      <c r="N123" s="354"/>
      <c r="O123" s="354"/>
      <c r="P123" s="354"/>
      <c r="Q123" s="354"/>
      <c r="R123" s="354"/>
      <c r="S123" s="354"/>
      <c r="T123" s="354"/>
      <c r="U123" s="354"/>
      <c r="V123" s="354"/>
      <c r="W123" s="354"/>
      <c r="X123" s="354"/>
      <c r="Y123" s="354"/>
      <c r="Z123" s="354"/>
      <c r="AA123" s="354"/>
    </row>
    <row r="124" spans="1:27" x14ac:dyDescent="0.35">
      <c r="A124" s="55"/>
      <c r="B124" s="5"/>
      <c r="C124" s="5"/>
      <c r="D124" s="5"/>
      <c r="E124" s="5"/>
      <c r="F124" s="57"/>
      <c r="G124" s="57"/>
      <c r="H124" s="57"/>
      <c r="I124" s="57"/>
      <c r="J124" s="354"/>
      <c r="K124" s="354"/>
      <c r="L124" s="354"/>
      <c r="M124" s="354"/>
      <c r="N124" s="354"/>
      <c r="O124" s="354"/>
      <c r="P124" s="354"/>
      <c r="Q124" s="354"/>
      <c r="R124" s="354"/>
      <c r="S124" s="354"/>
      <c r="T124" s="354"/>
      <c r="U124" s="354"/>
      <c r="V124" s="354"/>
      <c r="W124" s="354"/>
      <c r="X124" s="354"/>
      <c r="Y124" s="354"/>
      <c r="Z124" s="354"/>
      <c r="AA124" s="354"/>
    </row>
    <row r="125" spans="1:27" x14ac:dyDescent="0.35">
      <c r="A125" s="55"/>
      <c r="B125" s="5"/>
      <c r="C125" s="5"/>
      <c r="D125" s="5"/>
      <c r="E125" s="5"/>
      <c r="F125" s="57"/>
      <c r="G125" s="57"/>
      <c r="H125" s="57"/>
      <c r="I125" s="57"/>
      <c r="J125" s="354"/>
      <c r="K125" s="354"/>
      <c r="L125" s="354"/>
      <c r="M125" s="354"/>
      <c r="N125" s="354"/>
      <c r="O125" s="354"/>
      <c r="P125" s="354"/>
      <c r="Q125" s="354"/>
      <c r="R125" s="354"/>
      <c r="S125" s="354"/>
      <c r="T125" s="354"/>
      <c r="U125" s="354"/>
      <c r="V125" s="354"/>
      <c r="W125" s="354"/>
      <c r="X125" s="354"/>
      <c r="Y125" s="354"/>
      <c r="Z125" s="354"/>
      <c r="AA125" s="354"/>
    </row>
    <row r="126" spans="1:27" x14ac:dyDescent="0.35">
      <c r="A126" s="55"/>
      <c r="B126" s="5"/>
      <c r="C126" s="5"/>
      <c r="D126" s="5"/>
      <c r="E126" s="5"/>
      <c r="F126" s="57"/>
      <c r="G126" s="57"/>
      <c r="H126" s="57"/>
      <c r="I126" s="57"/>
      <c r="J126" s="354"/>
      <c r="K126" s="354"/>
      <c r="L126" s="354"/>
      <c r="M126" s="354"/>
      <c r="N126" s="354"/>
      <c r="O126" s="354"/>
      <c r="P126" s="354"/>
      <c r="Q126" s="354"/>
      <c r="R126" s="354"/>
      <c r="S126" s="354"/>
      <c r="T126" s="354"/>
      <c r="U126" s="354"/>
      <c r="V126" s="354"/>
      <c r="W126" s="354"/>
      <c r="X126" s="354"/>
      <c r="Y126" s="354"/>
      <c r="Z126" s="354"/>
      <c r="AA126" s="354"/>
    </row>
    <row r="127" spans="1:27" x14ac:dyDescent="0.35">
      <c r="A127" s="55"/>
      <c r="B127" s="5"/>
      <c r="C127" s="5"/>
      <c r="D127" s="5"/>
      <c r="E127" s="5"/>
      <c r="F127" s="57"/>
      <c r="G127" s="57"/>
      <c r="H127" s="57"/>
      <c r="I127" s="57"/>
      <c r="J127" s="354"/>
      <c r="K127" s="354"/>
      <c r="L127" s="354"/>
      <c r="M127" s="354"/>
      <c r="N127" s="354"/>
      <c r="O127" s="354"/>
      <c r="P127" s="354"/>
      <c r="Q127" s="354"/>
      <c r="R127" s="354"/>
      <c r="S127" s="354"/>
      <c r="T127" s="354"/>
      <c r="U127" s="354"/>
      <c r="V127" s="354"/>
      <c r="W127" s="354"/>
      <c r="X127" s="354"/>
      <c r="Y127" s="354"/>
      <c r="Z127" s="354"/>
      <c r="AA127" s="354"/>
    </row>
    <row r="128" spans="1:27" x14ac:dyDescent="0.35">
      <c r="A128" s="55"/>
      <c r="B128" s="5"/>
      <c r="C128" s="5"/>
      <c r="D128" s="5"/>
      <c r="E128" s="5"/>
      <c r="F128" s="57"/>
      <c r="G128" s="57"/>
      <c r="H128" s="57"/>
      <c r="I128" s="57"/>
      <c r="J128" s="354"/>
      <c r="K128" s="354"/>
      <c r="L128" s="354"/>
      <c r="M128" s="354"/>
      <c r="N128" s="354"/>
      <c r="O128" s="354"/>
      <c r="P128" s="354"/>
      <c r="Q128" s="354"/>
      <c r="R128" s="354"/>
      <c r="S128" s="354"/>
      <c r="T128" s="354"/>
      <c r="U128" s="354"/>
      <c r="V128" s="354"/>
      <c r="W128" s="354"/>
      <c r="X128" s="354"/>
      <c r="Y128" s="354"/>
      <c r="Z128" s="354"/>
      <c r="AA128" s="354"/>
    </row>
    <row r="129" spans="1:27" x14ac:dyDescent="0.35">
      <c r="A129" s="55"/>
      <c r="B129" s="5"/>
      <c r="C129" s="5"/>
      <c r="D129" s="5"/>
      <c r="E129" s="5"/>
      <c r="F129" s="57"/>
      <c r="G129" s="57"/>
      <c r="H129" s="57"/>
      <c r="I129" s="57"/>
      <c r="J129" s="354"/>
      <c r="K129" s="354"/>
      <c r="L129" s="354"/>
      <c r="M129" s="354"/>
      <c r="N129" s="354"/>
      <c r="O129" s="354"/>
      <c r="P129" s="354"/>
      <c r="Q129" s="354"/>
      <c r="R129" s="354"/>
      <c r="S129" s="354"/>
      <c r="T129" s="354"/>
      <c r="U129" s="354"/>
      <c r="V129" s="354"/>
      <c r="W129" s="354"/>
      <c r="X129" s="354"/>
      <c r="Y129" s="354"/>
      <c r="Z129" s="354"/>
      <c r="AA129" s="354"/>
    </row>
    <row r="130" spans="1:27" x14ac:dyDescent="0.35">
      <c r="A130" s="55"/>
      <c r="B130" s="5"/>
      <c r="C130" s="5"/>
      <c r="D130" s="5"/>
      <c r="E130" s="5"/>
      <c r="F130" s="57"/>
      <c r="G130" s="57"/>
      <c r="H130" s="57"/>
      <c r="I130" s="57"/>
      <c r="J130" s="354"/>
      <c r="K130" s="354"/>
      <c r="L130" s="354"/>
      <c r="M130" s="354"/>
      <c r="N130" s="354"/>
      <c r="O130" s="354"/>
      <c r="P130" s="354"/>
      <c r="Q130" s="354"/>
      <c r="R130" s="354"/>
      <c r="S130" s="354"/>
      <c r="T130" s="354"/>
      <c r="U130" s="354"/>
      <c r="V130" s="354"/>
      <c r="W130" s="354"/>
      <c r="X130" s="354"/>
      <c r="Y130" s="354"/>
      <c r="Z130" s="354"/>
      <c r="AA130" s="354"/>
    </row>
    <row r="131" spans="1:27" x14ac:dyDescent="0.35">
      <c r="A131" s="55"/>
      <c r="B131" s="5"/>
      <c r="C131" s="5"/>
      <c r="D131" s="5"/>
      <c r="E131" s="5"/>
      <c r="F131" s="57"/>
      <c r="G131" s="57"/>
      <c r="H131" s="57"/>
      <c r="I131" s="57"/>
      <c r="J131" s="354"/>
      <c r="K131" s="354"/>
      <c r="L131" s="354"/>
      <c r="M131" s="354"/>
      <c r="N131" s="354"/>
      <c r="O131" s="354"/>
      <c r="P131" s="354"/>
      <c r="Q131" s="354"/>
      <c r="R131" s="354"/>
      <c r="S131" s="354"/>
      <c r="T131" s="354"/>
      <c r="U131" s="354"/>
      <c r="V131" s="354"/>
      <c r="W131" s="354"/>
      <c r="X131" s="354"/>
      <c r="Y131" s="354"/>
      <c r="Z131" s="354"/>
      <c r="AA131" s="354"/>
    </row>
    <row r="132" spans="1:27" x14ac:dyDescent="0.35">
      <c r="A132" s="55"/>
      <c r="B132" s="5"/>
      <c r="C132" s="5"/>
      <c r="D132" s="5"/>
      <c r="E132" s="5"/>
      <c r="F132" s="57"/>
      <c r="G132" s="57"/>
      <c r="H132" s="57"/>
      <c r="I132" s="57"/>
      <c r="J132" s="354"/>
      <c r="K132" s="354"/>
      <c r="L132" s="354"/>
      <c r="M132" s="354"/>
      <c r="N132" s="354"/>
      <c r="O132" s="354"/>
      <c r="P132" s="354"/>
      <c r="Q132" s="354"/>
      <c r="R132" s="354"/>
      <c r="S132" s="354"/>
      <c r="T132" s="354"/>
      <c r="U132" s="354"/>
      <c r="V132" s="354"/>
      <c r="W132" s="354"/>
      <c r="X132" s="354"/>
      <c r="Y132" s="354"/>
      <c r="Z132" s="354"/>
      <c r="AA132" s="354"/>
    </row>
    <row r="133" spans="1:27" x14ac:dyDescent="0.35">
      <c r="A133" s="55"/>
      <c r="B133" s="5"/>
      <c r="C133" s="5"/>
      <c r="D133" s="5"/>
      <c r="E133" s="5"/>
      <c r="F133" s="57"/>
      <c r="G133" s="57"/>
      <c r="H133" s="57"/>
      <c r="I133" s="57"/>
      <c r="J133" s="354"/>
      <c r="K133" s="354"/>
      <c r="L133" s="354"/>
      <c r="M133" s="354"/>
      <c r="N133" s="354"/>
      <c r="O133" s="354"/>
      <c r="P133" s="354"/>
      <c r="Q133" s="354"/>
      <c r="R133" s="354"/>
      <c r="S133" s="354"/>
      <c r="T133" s="354"/>
      <c r="U133" s="354"/>
      <c r="V133" s="354"/>
      <c r="W133" s="354"/>
      <c r="X133" s="354"/>
      <c r="Y133" s="354"/>
      <c r="Z133" s="354"/>
      <c r="AA133" s="354"/>
    </row>
    <row r="134" spans="1:27" x14ac:dyDescent="0.35">
      <c r="A134" s="55"/>
      <c r="B134" s="5"/>
      <c r="C134" s="5"/>
      <c r="D134" s="5"/>
      <c r="E134" s="5"/>
      <c r="F134" s="57"/>
      <c r="G134" s="57"/>
      <c r="H134" s="57"/>
      <c r="I134" s="57"/>
      <c r="J134" s="354"/>
      <c r="K134" s="354"/>
      <c r="L134" s="354"/>
      <c r="M134" s="354"/>
      <c r="N134" s="354"/>
      <c r="O134" s="354"/>
      <c r="P134" s="354"/>
      <c r="Q134" s="354"/>
      <c r="R134" s="354"/>
      <c r="S134" s="354"/>
      <c r="T134" s="354"/>
      <c r="U134" s="354"/>
      <c r="V134" s="354"/>
      <c r="W134" s="354"/>
      <c r="X134" s="354"/>
      <c r="Y134" s="354"/>
      <c r="Z134" s="354"/>
      <c r="AA134" s="354"/>
    </row>
    <row r="135" spans="1:27" x14ac:dyDescent="0.35">
      <c r="A135" s="55"/>
      <c r="B135" s="5"/>
      <c r="C135" s="5"/>
      <c r="D135" s="5"/>
      <c r="E135" s="5"/>
      <c r="F135" s="57"/>
      <c r="G135" s="57"/>
      <c r="H135" s="57"/>
      <c r="I135" s="57"/>
      <c r="J135" s="354"/>
      <c r="K135" s="354"/>
      <c r="L135" s="354"/>
      <c r="M135" s="354"/>
      <c r="N135" s="354"/>
      <c r="O135" s="354"/>
      <c r="P135" s="354"/>
      <c r="Q135" s="354"/>
      <c r="R135" s="354"/>
      <c r="S135" s="354"/>
      <c r="T135" s="354"/>
      <c r="U135" s="354"/>
      <c r="V135" s="354"/>
      <c r="W135" s="354"/>
      <c r="X135" s="354"/>
      <c r="Y135" s="354"/>
      <c r="Z135" s="354"/>
      <c r="AA135" s="354"/>
    </row>
    <row r="136" spans="1:27" x14ac:dyDescent="0.35">
      <c r="A136" s="55"/>
      <c r="B136" s="5"/>
      <c r="C136" s="5"/>
      <c r="D136" s="5"/>
      <c r="E136" s="5"/>
      <c r="F136" s="57"/>
      <c r="G136" s="57"/>
      <c r="H136" s="57"/>
      <c r="I136" s="57"/>
      <c r="J136" s="354"/>
      <c r="K136" s="354"/>
      <c r="L136" s="354"/>
      <c r="M136" s="354"/>
      <c r="N136" s="354"/>
      <c r="O136" s="354"/>
      <c r="P136" s="354"/>
      <c r="Q136" s="354"/>
      <c r="R136" s="354"/>
      <c r="S136" s="354"/>
      <c r="T136" s="354"/>
      <c r="U136" s="354"/>
      <c r="V136" s="354"/>
      <c r="W136" s="354"/>
      <c r="X136" s="354"/>
      <c r="Y136" s="354"/>
      <c r="Z136" s="354"/>
      <c r="AA136" s="354"/>
    </row>
    <row r="137" spans="1:27" x14ac:dyDescent="0.35">
      <c r="A137" s="55"/>
      <c r="B137" s="5"/>
      <c r="C137" s="5"/>
      <c r="D137" s="5"/>
      <c r="E137" s="5"/>
      <c r="F137" s="57"/>
      <c r="G137" s="57"/>
      <c r="H137" s="57"/>
      <c r="I137" s="57"/>
      <c r="J137" s="354"/>
      <c r="K137" s="354"/>
      <c r="L137" s="354"/>
      <c r="M137" s="354"/>
      <c r="N137" s="354"/>
      <c r="O137" s="354"/>
      <c r="P137" s="354"/>
      <c r="Q137" s="354"/>
      <c r="R137" s="354"/>
      <c r="S137" s="354"/>
      <c r="T137" s="354"/>
      <c r="U137" s="354"/>
      <c r="V137" s="354"/>
      <c r="W137" s="354"/>
      <c r="X137" s="354"/>
      <c r="Y137" s="354"/>
      <c r="Z137" s="354"/>
      <c r="AA137" s="354"/>
    </row>
    <row r="138" spans="1:27" x14ac:dyDescent="0.35">
      <c r="A138" s="55"/>
      <c r="B138" s="5"/>
      <c r="C138" s="5"/>
      <c r="D138" s="5"/>
      <c r="E138" s="5"/>
      <c r="F138" s="57"/>
      <c r="G138" s="57"/>
      <c r="H138" s="57"/>
      <c r="I138" s="57"/>
      <c r="J138" s="354"/>
      <c r="K138" s="354"/>
      <c r="L138" s="354"/>
      <c r="M138" s="354"/>
      <c r="N138" s="354"/>
      <c r="O138" s="354"/>
      <c r="P138" s="354"/>
      <c r="Q138" s="354"/>
      <c r="R138" s="354"/>
      <c r="S138" s="354"/>
      <c r="T138" s="354"/>
      <c r="U138" s="354"/>
      <c r="V138" s="354"/>
      <c r="W138" s="354"/>
      <c r="X138" s="354"/>
      <c r="Y138" s="354"/>
      <c r="Z138" s="354"/>
      <c r="AA138" s="354"/>
    </row>
    <row r="139" spans="1:27" x14ac:dyDescent="0.35">
      <c r="A139" s="55"/>
      <c r="B139" s="5"/>
      <c r="C139" s="5"/>
      <c r="D139" s="5"/>
      <c r="E139" s="5"/>
      <c r="F139" s="57"/>
      <c r="G139" s="57"/>
      <c r="H139" s="57"/>
      <c r="I139" s="57"/>
      <c r="J139" s="354"/>
      <c r="K139" s="354"/>
      <c r="L139" s="354"/>
      <c r="M139" s="354"/>
      <c r="N139" s="354"/>
      <c r="O139" s="354"/>
      <c r="P139" s="354"/>
      <c r="Q139" s="354"/>
      <c r="R139" s="354"/>
      <c r="S139" s="354"/>
      <c r="T139" s="354"/>
      <c r="U139" s="354"/>
      <c r="V139" s="354"/>
      <c r="W139" s="354"/>
      <c r="X139" s="354"/>
      <c r="Y139" s="354"/>
      <c r="Z139" s="354"/>
      <c r="AA139" s="354"/>
    </row>
    <row r="140" spans="1:27" x14ac:dyDescent="0.35">
      <c r="A140" s="55"/>
      <c r="B140" s="5"/>
      <c r="C140" s="5"/>
      <c r="D140" s="5"/>
      <c r="E140" s="5"/>
      <c r="F140" s="57"/>
      <c r="G140" s="57"/>
      <c r="H140" s="57"/>
      <c r="I140" s="57"/>
      <c r="J140" s="354"/>
      <c r="K140" s="354"/>
      <c r="L140" s="354"/>
      <c r="M140" s="354"/>
      <c r="N140" s="354"/>
      <c r="O140" s="354"/>
      <c r="P140" s="354"/>
      <c r="Q140" s="354"/>
      <c r="R140" s="354"/>
      <c r="S140" s="354"/>
      <c r="T140" s="354"/>
      <c r="U140" s="354"/>
      <c r="V140" s="354"/>
      <c r="W140" s="354"/>
      <c r="X140" s="354"/>
      <c r="Y140" s="354"/>
      <c r="Z140" s="354"/>
      <c r="AA140" s="354"/>
    </row>
    <row r="141" spans="1:27" x14ac:dyDescent="0.35">
      <c r="A141" s="55"/>
      <c r="B141" s="5"/>
      <c r="C141" s="5"/>
      <c r="D141" s="5"/>
      <c r="E141" s="5"/>
      <c r="F141" s="57"/>
      <c r="G141" s="57"/>
      <c r="H141" s="57"/>
      <c r="I141" s="57"/>
      <c r="J141" s="354"/>
      <c r="K141" s="354"/>
      <c r="L141" s="354"/>
      <c r="M141" s="354"/>
      <c r="N141" s="354"/>
      <c r="O141" s="354"/>
      <c r="P141" s="354"/>
      <c r="Q141" s="354"/>
      <c r="R141" s="354"/>
      <c r="S141" s="354"/>
      <c r="T141" s="354"/>
      <c r="U141" s="354"/>
      <c r="V141" s="354"/>
      <c r="W141" s="354"/>
      <c r="X141" s="354"/>
      <c r="Y141" s="354"/>
      <c r="Z141" s="354"/>
      <c r="AA141" s="354"/>
    </row>
    <row r="142" spans="1:27" x14ac:dyDescent="0.35">
      <c r="A142" s="55"/>
      <c r="B142" s="5"/>
      <c r="C142" s="5"/>
      <c r="D142" s="5"/>
      <c r="E142" s="5"/>
      <c r="F142" s="57"/>
      <c r="G142" s="57"/>
      <c r="H142" s="57"/>
      <c r="I142" s="57"/>
      <c r="J142" s="354"/>
      <c r="K142" s="354"/>
      <c r="L142" s="354"/>
      <c r="M142" s="354"/>
      <c r="N142" s="354"/>
      <c r="O142" s="354"/>
      <c r="P142" s="354"/>
      <c r="Q142" s="354"/>
      <c r="R142" s="354"/>
      <c r="S142" s="354"/>
      <c r="T142" s="354"/>
      <c r="U142" s="354"/>
      <c r="V142" s="354"/>
      <c r="W142" s="354"/>
      <c r="X142" s="354"/>
      <c r="Y142" s="354"/>
      <c r="Z142" s="354"/>
      <c r="AA142" s="354"/>
    </row>
    <row r="143" spans="1:27" x14ac:dyDescent="0.35">
      <c r="A143" s="55"/>
      <c r="B143" s="5"/>
      <c r="C143" s="5"/>
      <c r="D143" s="5"/>
      <c r="E143" s="5"/>
      <c r="F143" s="57"/>
      <c r="G143" s="57"/>
      <c r="H143" s="57"/>
      <c r="I143" s="57"/>
      <c r="J143" s="354"/>
      <c r="K143" s="354"/>
      <c r="L143" s="354"/>
      <c r="M143" s="354"/>
      <c r="N143" s="354"/>
      <c r="O143" s="354"/>
      <c r="P143" s="354"/>
      <c r="Q143" s="354"/>
      <c r="R143" s="354"/>
      <c r="S143" s="354"/>
      <c r="T143" s="354"/>
      <c r="U143" s="354"/>
      <c r="V143" s="354"/>
      <c r="W143" s="354"/>
      <c r="X143" s="354"/>
      <c r="Y143" s="354"/>
      <c r="Z143" s="354"/>
      <c r="AA143" s="354"/>
    </row>
    <row r="144" spans="1:27" x14ac:dyDescent="0.35">
      <c r="A144" s="55"/>
      <c r="B144" s="5"/>
      <c r="C144" s="5"/>
      <c r="D144" s="5"/>
      <c r="E144" s="5"/>
      <c r="F144" s="57"/>
      <c r="G144" s="57"/>
      <c r="H144" s="57"/>
      <c r="I144" s="57"/>
      <c r="J144" s="354"/>
      <c r="K144" s="354"/>
      <c r="L144" s="354"/>
      <c r="M144" s="354"/>
      <c r="N144" s="354"/>
      <c r="O144" s="354"/>
      <c r="P144" s="354"/>
      <c r="Q144" s="354"/>
      <c r="R144" s="354"/>
      <c r="S144" s="354"/>
      <c r="T144" s="354"/>
      <c r="U144" s="354"/>
      <c r="V144" s="354"/>
      <c r="W144" s="354"/>
      <c r="X144" s="354"/>
      <c r="Y144" s="354"/>
      <c r="Z144" s="354"/>
      <c r="AA144" s="354"/>
    </row>
    <row r="145" spans="1:27" x14ac:dyDescent="0.35">
      <c r="A145" s="55"/>
      <c r="B145" s="5"/>
      <c r="C145" s="5"/>
      <c r="D145" s="5"/>
      <c r="E145" s="5"/>
      <c r="F145" s="57"/>
      <c r="G145" s="57"/>
      <c r="H145" s="57"/>
      <c r="I145" s="57"/>
      <c r="J145" s="354"/>
      <c r="K145" s="354"/>
      <c r="L145" s="354"/>
      <c r="M145" s="354"/>
      <c r="N145" s="354"/>
      <c r="O145" s="354"/>
      <c r="P145" s="354"/>
      <c r="Q145" s="354"/>
      <c r="R145" s="354"/>
      <c r="S145" s="354"/>
      <c r="T145" s="354"/>
      <c r="U145" s="354"/>
      <c r="V145" s="354"/>
      <c r="W145" s="354"/>
      <c r="X145" s="354"/>
      <c r="Y145" s="354"/>
      <c r="Z145" s="354"/>
      <c r="AA145" s="354"/>
    </row>
    <row r="146" spans="1:27" x14ac:dyDescent="0.35">
      <c r="A146" s="55"/>
      <c r="B146" s="5"/>
      <c r="C146" s="5"/>
      <c r="D146" s="5"/>
      <c r="E146" s="5"/>
      <c r="F146" s="57"/>
      <c r="G146" s="57"/>
      <c r="H146" s="57"/>
      <c r="I146" s="57"/>
      <c r="J146" s="354"/>
      <c r="K146" s="354"/>
      <c r="L146" s="354"/>
      <c r="M146" s="354"/>
      <c r="N146" s="354"/>
      <c r="O146" s="354"/>
      <c r="P146" s="354"/>
      <c r="Q146" s="354"/>
      <c r="R146" s="354"/>
      <c r="S146" s="354"/>
      <c r="T146" s="354"/>
      <c r="U146" s="354"/>
      <c r="V146" s="354"/>
      <c r="W146" s="354"/>
      <c r="X146" s="354"/>
      <c r="Y146" s="354"/>
      <c r="Z146" s="354"/>
      <c r="AA146" s="354"/>
    </row>
    <row r="147" spans="1:27" x14ac:dyDescent="0.35">
      <c r="A147" s="55"/>
      <c r="B147" s="5"/>
      <c r="C147" s="5"/>
      <c r="D147" s="5"/>
      <c r="E147" s="5"/>
      <c r="F147" s="57"/>
      <c r="G147" s="57"/>
      <c r="H147" s="57"/>
      <c r="I147" s="57"/>
      <c r="J147" s="354"/>
      <c r="K147" s="354"/>
      <c r="L147" s="354"/>
      <c r="M147" s="354"/>
      <c r="N147" s="354"/>
      <c r="O147" s="354"/>
      <c r="P147" s="354"/>
      <c r="Q147" s="354"/>
      <c r="R147" s="354"/>
      <c r="S147" s="354"/>
      <c r="T147" s="354"/>
      <c r="U147" s="354"/>
      <c r="V147" s="354"/>
      <c r="W147" s="354"/>
      <c r="X147" s="354"/>
      <c r="Y147" s="354"/>
      <c r="Z147" s="354"/>
      <c r="AA147" s="354"/>
    </row>
    <row r="148" spans="1:27" x14ac:dyDescent="0.35">
      <c r="A148" s="55"/>
      <c r="B148" s="5"/>
      <c r="C148" s="5"/>
      <c r="D148" s="5"/>
      <c r="E148" s="5"/>
      <c r="F148" s="57"/>
      <c r="G148" s="57"/>
      <c r="H148" s="57"/>
      <c r="I148" s="57"/>
      <c r="J148" s="354"/>
      <c r="K148" s="354"/>
      <c r="L148" s="354"/>
      <c r="M148" s="354"/>
      <c r="N148" s="354"/>
      <c r="O148" s="354"/>
      <c r="P148" s="354"/>
      <c r="Q148" s="354"/>
      <c r="R148" s="354"/>
      <c r="S148" s="354"/>
      <c r="T148" s="354"/>
      <c r="U148" s="354"/>
      <c r="V148" s="354"/>
      <c r="W148" s="354"/>
      <c r="X148" s="354"/>
      <c r="Y148" s="354"/>
      <c r="Z148" s="354"/>
      <c r="AA148" s="354"/>
    </row>
    <row r="149" spans="1:27" x14ac:dyDescent="0.35">
      <c r="A149" s="55"/>
      <c r="B149" s="5"/>
      <c r="C149" s="5"/>
      <c r="D149" s="5"/>
      <c r="E149" s="5"/>
      <c r="F149" s="57"/>
      <c r="G149" s="57"/>
      <c r="H149" s="57"/>
      <c r="I149" s="57"/>
      <c r="J149" s="354"/>
      <c r="K149" s="354"/>
      <c r="L149" s="354"/>
      <c r="M149" s="354"/>
      <c r="N149" s="354"/>
      <c r="O149" s="354"/>
      <c r="P149" s="354"/>
      <c r="Q149" s="354"/>
      <c r="R149" s="354"/>
      <c r="S149" s="354"/>
      <c r="T149" s="354"/>
      <c r="U149" s="354"/>
      <c r="V149" s="354"/>
      <c r="W149" s="354"/>
      <c r="X149" s="354"/>
      <c r="Y149" s="354"/>
      <c r="Z149" s="354"/>
      <c r="AA149" s="354"/>
    </row>
    <row r="150" spans="1:27" x14ac:dyDescent="0.35">
      <c r="A150" s="55"/>
      <c r="B150" s="5"/>
      <c r="C150" s="5"/>
      <c r="D150" s="5"/>
      <c r="E150" s="5"/>
      <c r="F150" s="57"/>
      <c r="G150" s="57"/>
      <c r="H150" s="57"/>
      <c r="I150" s="57"/>
      <c r="J150" s="354"/>
      <c r="K150" s="354"/>
      <c r="L150" s="354"/>
      <c r="M150" s="354"/>
      <c r="N150" s="354"/>
      <c r="O150" s="354"/>
      <c r="P150" s="354"/>
      <c r="Q150" s="354"/>
      <c r="R150" s="354"/>
      <c r="S150" s="354"/>
      <c r="T150" s="354"/>
      <c r="U150" s="354"/>
      <c r="V150" s="354"/>
      <c r="W150" s="354"/>
      <c r="X150" s="354"/>
      <c r="Y150" s="354"/>
      <c r="Z150" s="354"/>
      <c r="AA150" s="354"/>
    </row>
    <row r="151" spans="1:27" x14ac:dyDescent="0.35">
      <c r="A151" s="55"/>
      <c r="B151" s="5"/>
      <c r="C151" s="5"/>
      <c r="D151" s="5"/>
      <c r="E151" s="5"/>
      <c r="F151" s="57"/>
      <c r="G151" s="57"/>
      <c r="H151" s="57"/>
      <c r="I151" s="57"/>
      <c r="J151" s="354"/>
      <c r="K151" s="354"/>
      <c r="L151" s="354"/>
      <c r="M151" s="354"/>
      <c r="N151" s="354"/>
      <c r="O151" s="354"/>
      <c r="P151" s="354"/>
      <c r="Q151" s="354"/>
      <c r="R151" s="354"/>
      <c r="S151" s="354"/>
      <c r="T151" s="354"/>
      <c r="U151" s="354"/>
      <c r="V151" s="354"/>
      <c r="W151" s="354"/>
      <c r="X151" s="354"/>
      <c r="Y151" s="354"/>
      <c r="Z151" s="354"/>
      <c r="AA151" s="354"/>
    </row>
    <row r="152" spans="1:27" x14ac:dyDescent="0.35">
      <c r="A152" s="55"/>
      <c r="B152" s="5"/>
      <c r="C152" s="5"/>
      <c r="D152" s="5"/>
      <c r="E152" s="5"/>
      <c r="F152" s="57"/>
      <c r="G152" s="57"/>
      <c r="H152" s="57"/>
      <c r="I152" s="57"/>
      <c r="J152" s="354"/>
      <c r="K152" s="354"/>
      <c r="L152" s="354"/>
      <c r="M152" s="354"/>
      <c r="N152" s="354"/>
      <c r="O152" s="354"/>
      <c r="P152" s="354"/>
      <c r="Q152" s="354"/>
      <c r="R152" s="354"/>
      <c r="S152" s="354"/>
      <c r="T152" s="354"/>
      <c r="U152" s="354"/>
      <c r="V152" s="354"/>
      <c r="W152" s="354"/>
      <c r="X152" s="354"/>
      <c r="Y152" s="354"/>
      <c r="Z152" s="354"/>
      <c r="AA152" s="354"/>
    </row>
    <row r="153" spans="1:27" x14ac:dyDescent="0.35">
      <c r="A153" s="55"/>
      <c r="B153" s="5"/>
      <c r="C153" s="5"/>
      <c r="D153" s="5"/>
      <c r="E153" s="5"/>
      <c r="F153" s="57"/>
      <c r="G153" s="57"/>
      <c r="H153" s="57"/>
      <c r="I153" s="57"/>
      <c r="J153" s="354"/>
      <c r="K153" s="354"/>
      <c r="L153" s="354"/>
      <c r="M153" s="354"/>
      <c r="N153" s="354"/>
      <c r="O153" s="354"/>
      <c r="P153" s="354"/>
      <c r="Q153" s="354"/>
      <c r="R153" s="354"/>
      <c r="S153" s="354"/>
      <c r="T153" s="354"/>
      <c r="U153" s="354"/>
      <c r="V153" s="354"/>
      <c r="W153" s="354"/>
      <c r="X153" s="354"/>
      <c r="Y153" s="354"/>
      <c r="Z153" s="354"/>
      <c r="AA153" s="354"/>
    </row>
    <row r="154" spans="1:27" x14ac:dyDescent="0.35">
      <c r="A154" s="55"/>
      <c r="B154" s="5"/>
      <c r="C154" s="5"/>
      <c r="D154" s="5"/>
      <c r="E154" s="5"/>
      <c r="F154" s="57"/>
      <c r="G154" s="57"/>
      <c r="H154" s="57"/>
      <c r="I154" s="57"/>
      <c r="J154" s="354"/>
      <c r="K154" s="354"/>
      <c r="L154" s="354"/>
      <c r="M154" s="354"/>
      <c r="N154" s="354"/>
      <c r="O154" s="354"/>
      <c r="P154" s="354"/>
      <c r="Q154" s="354"/>
      <c r="R154" s="354"/>
      <c r="S154" s="354"/>
      <c r="T154" s="354"/>
      <c r="U154" s="354"/>
      <c r="V154" s="354"/>
      <c r="W154" s="354"/>
      <c r="X154" s="354"/>
      <c r="Y154" s="354"/>
      <c r="Z154" s="354"/>
      <c r="AA154" s="354"/>
    </row>
    <row r="155" spans="1:27" x14ac:dyDescent="0.35">
      <c r="A155" s="55"/>
      <c r="B155" s="5"/>
      <c r="C155" s="5"/>
      <c r="D155" s="5"/>
      <c r="E155" s="5"/>
      <c r="F155" s="57"/>
      <c r="G155" s="57"/>
      <c r="H155" s="57"/>
      <c r="I155" s="57"/>
      <c r="J155" s="354"/>
      <c r="K155" s="354"/>
      <c r="L155" s="354"/>
      <c r="M155" s="354"/>
      <c r="N155" s="354"/>
      <c r="O155" s="354"/>
      <c r="P155" s="354"/>
      <c r="Q155" s="354"/>
      <c r="R155" s="354"/>
      <c r="S155" s="354"/>
      <c r="T155" s="354"/>
      <c r="U155" s="354"/>
      <c r="V155" s="354"/>
      <c r="W155" s="354"/>
      <c r="X155" s="354"/>
      <c r="Y155" s="354"/>
      <c r="Z155" s="354"/>
      <c r="AA155" s="354"/>
    </row>
    <row r="156" spans="1:27" x14ac:dyDescent="0.35">
      <c r="A156" s="55"/>
      <c r="B156" s="5"/>
      <c r="C156" s="5"/>
      <c r="D156" s="5"/>
      <c r="E156" s="5"/>
      <c r="F156" s="57"/>
      <c r="G156" s="57"/>
      <c r="H156" s="57"/>
      <c r="I156" s="57"/>
      <c r="J156" s="354"/>
      <c r="K156" s="354"/>
      <c r="L156" s="354"/>
      <c r="M156" s="354"/>
      <c r="N156" s="354"/>
      <c r="O156" s="354"/>
      <c r="P156" s="354"/>
      <c r="Q156" s="354"/>
      <c r="R156" s="354"/>
      <c r="S156" s="354"/>
      <c r="T156" s="354"/>
      <c r="U156" s="354"/>
      <c r="V156" s="354"/>
      <c r="W156" s="354"/>
      <c r="X156" s="354"/>
      <c r="Y156" s="354"/>
      <c r="Z156" s="354"/>
      <c r="AA156" s="354"/>
    </row>
    <row r="157" spans="1:27" x14ac:dyDescent="0.35">
      <c r="A157" s="55"/>
      <c r="B157" s="5"/>
      <c r="C157" s="5"/>
      <c r="D157" s="5"/>
      <c r="E157" s="5"/>
      <c r="F157" s="57"/>
      <c r="G157" s="57"/>
      <c r="H157" s="57"/>
      <c r="I157" s="57"/>
      <c r="J157" s="354"/>
      <c r="K157" s="354"/>
      <c r="L157" s="354"/>
      <c r="M157" s="354"/>
      <c r="N157" s="354"/>
      <c r="O157" s="354"/>
      <c r="P157" s="354"/>
      <c r="Q157" s="354"/>
      <c r="R157" s="354"/>
      <c r="S157" s="354"/>
      <c r="T157" s="354"/>
      <c r="U157" s="354"/>
      <c r="V157" s="354"/>
      <c r="W157" s="354"/>
      <c r="X157" s="354"/>
      <c r="Y157" s="354"/>
      <c r="Z157" s="354"/>
      <c r="AA157" s="354"/>
    </row>
    <row r="158" spans="1:27" x14ac:dyDescent="0.35">
      <c r="A158" s="55"/>
      <c r="B158" s="5"/>
      <c r="C158" s="5"/>
      <c r="D158" s="5"/>
      <c r="E158" s="5"/>
      <c r="F158" s="57"/>
      <c r="G158" s="57"/>
      <c r="H158" s="57"/>
      <c r="I158" s="57"/>
      <c r="J158" s="354"/>
      <c r="K158" s="354"/>
      <c r="L158" s="354"/>
      <c r="M158" s="354"/>
      <c r="N158" s="354"/>
      <c r="O158" s="354"/>
      <c r="P158" s="354"/>
      <c r="Q158" s="354"/>
      <c r="R158" s="354"/>
      <c r="S158" s="354"/>
      <c r="T158" s="354"/>
      <c r="U158" s="354"/>
      <c r="V158" s="354"/>
      <c r="W158" s="354"/>
      <c r="X158" s="354"/>
      <c r="Y158" s="354"/>
      <c r="Z158" s="354"/>
      <c r="AA158" s="354"/>
    </row>
    <row r="159" spans="1:27" x14ac:dyDescent="0.35">
      <c r="A159" s="55"/>
      <c r="B159" s="5"/>
      <c r="C159" s="5"/>
      <c r="D159" s="5"/>
      <c r="E159" s="5"/>
      <c r="F159" s="57"/>
      <c r="G159" s="57"/>
      <c r="H159" s="57"/>
      <c r="I159" s="57"/>
      <c r="J159" s="354"/>
      <c r="K159" s="354"/>
      <c r="L159" s="354"/>
      <c r="M159" s="354"/>
      <c r="N159" s="354"/>
      <c r="O159" s="354"/>
      <c r="P159" s="354"/>
      <c r="Q159" s="354"/>
      <c r="R159" s="354"/>
      <c r="S159" s="354"/>
      <c r="T159" s="354"/>
      <c r="U159" s="354"/>
      <c r="V159" s="354"/>
      <c r="W159" s="354"/>
      <c r="X159" s="354"/>
      <c r="Y159" s="354"/>
      <c r="Z159" s="354"/>
      <c r="AA159" s="354"/>
    </row>
    <row r="160" spans="1:27" x14ac:dyDescent="0.35">
      <c r="A160" s="55"/>
      <c r="B160" s="5"/>
      <c r="C160" s="5"/>
      <c r="D160" s="5"/>
      <c r="E160" s="5"/>
      <c r="F160" s="57"/>
      <c r="G160" s="57"/>
      <c r="H160" s="57"/>
      <c r="I160" s="57"/>
      <c r="J160" s="354"/>
      <c r="K160" s="354"/>
      <c r="L160" s="354"/>
      <c r="M160" s="354"/>
      <c r="N160" s="354"/>
      <c r="O160" s="354"/>
      <c r="P160" s="354"/>
      <c r="Q160" s="354"/>
      <c r="R160" s="354"/>
      <c r="S160" s="354"/>
      <c r="T160" s="354"/>
      <c r="U160" s="354"/>
      <c r="V160" s="354"/>
      <c r="W160" s="354"/>
      <c r="X160" s="354"/>
      <c r="Y160" s="354"/>
      <c r="Z160" s="354"/>
      <c r="AA160" s="354"/>
    </row>
    <row r="161" spans="1:27" x14ac:dyDescent="0.35">
      <c r="A161" s="55"/>
      <c r="B161" s="5"/>
      <c r="C161" s="5"/>
      <c r="D161" s="5"/>
      <c r="E161" s="5"/>
      <c r="F161" s="57"/>
      <c r="G161" s="57"/>
      <c r="H161" s="57"/>
      <c r="I161" s="57"/>
      <c r="J161" s="354"/>
      <c r="K161" s="354"/>
      <c r="L161" s="354"/>
      <c r="M161" s="354"/>
      <c r="N161" s="354"/>
      <c r="O161" s="354"/>
      <c r="P161" s="354"/>
      <c r="Q161" s="354"/>
      <c r="R161" s="354"/>
      <c r="S161" s="354"/>
      <c r="T161" s="354"/>
      <c r="U161" s="354"/>
      <c r="V161" s="354"/>
      <c r="W161" s="354"/>
      <c r="X161" s="354"/>
      <c r="Y161" s="354"/>
      <c r="Z161" s="354"/>
      <c r="AA161" s="354"/>
    </row>
    <row r="162" spans="1:27" x14ac:dyDescent="0.35">
      <c r="A162" s="55"/>
      <c r="B162" s="5"/>
      <c r="C162" s="5"/>
      <c r="D162" s="5"/>
      <c r="E162" s="5"/>
      <c r="F162" s="57"/>
      <c r="G162" s="57"/>
      <c r="H162" s="57"/>
      <c r="I162" s="57"/>
      <c r="J162" s="354"/>
      <c r="K162" s="354"/>
      <c r="L162" s="354"/>
      <c r="M162" s="354"/>
      <c r="N162" s="354"/>
      <c r="O162" s="354"/>
      <c r="P162" s="354"/>
      <c r="Q162" s="354"/>
      <c r="R162" s="354"/>
      <c r="S162" s="354"/>
      <c r="T162" s="354"/>
      <c r="U162" s="354"/>
      <c r="V162" s="354"/>
      <c r="W162" s="354"/>
      <c r="X162" s="354"/>
      <c r="Y162" s="354"/>
      <c r="Z162" s="354"/>
      <c r="AA162" s="354"/>
    </row>
    <row r="163" spans="1:27" x14ac:dyDescent="0.35">
      <c r="A163" s="55"/>
      <c r="B163" s="5"/>
      <c r="C163" s="5"/>
      <c r="D163" s="5"/>
      <c r="E163" s="5"/>
      <c r="F163" s="57"/>
      <c r="G163" s="57"/>
      <c r="H163" s="57"/>
      <c r="I163" s="57"/>
      <c r="J163" s="354"/>
      <c r="K163" s="354"/>
      <c r="L163" s="354"/>
      <c r="M163" s="354"/>
      <c r="N163" s="354"/>
      <c r="O163" s="354"/>
      <c r="P163" s="354"/>
      <c r="Q163" s="354"/>
      <c r="R163" s="354"/>
      <c r="S163" s="354"/>
      <c r="T163" s="354"/>
      <c r="U163" s="354"/>
      <c r="V163" s="354"/>
      <c r="W163" s="354"/>
      <c r="X163" s="354"/>
      <c r="Y163" s="354"/>
      <c r="Z163" s="354"/>
      <c r="AA163" s="354"/>
    </row>
    <row r="164" spans="1:27" x14ac:dyDescent="0.35">
      <c r="A164" s="55"/>
      <c r="B164" s="5"/>
      <c r="C164" s="5"/>
      <c r="D164" s="5"/>
      <c r="E164" s="5"/>
      <c r="F164" s="57"/>
      <c r="G164" s="57"/>
      <c r="H164" s="57"/>
      <c r="I164" s="57"/>
      <c r="J164" s="354"/>
      <c r="K164" s="354"/>
      <c r="L164" s="354"/>
      <c r="M164" s="354"/>
      <c r="N164" s="354"/>
      <c r="O164" s="354"/>
      <c r="P164" s="354"/>
      <c r="Q164" s="354"/>
      <c r="R164" s="354"/>
      <c r="S164" s="354"/>
      <c r="T164" s="354"/>
      <c r="U164" s="354"/>
      <c r="V164" s="354"/>
      <c r="W164" s="354"/>
      <c r="X164" s="354"/>
      <c r="Y164" s="354"/>
      <c r="Z164" s="354"/>
      <c r="AA164" s="354"/>
    </row>
    <row r="165" spans="1:27" x14ac:dyDescent="0.35">
      <c r="A165" s="55"/>
      <c r="B165" s="5"/>
      <c r="C165" s="5"/>
      <c r="D165" s="5"/>
      <c r="E165" s="5"/>
      <c r="F165" s="5"/>
      <c r="G165" s="5"/>
      <c r="H165" s="5"/>
      <c r="I165" s="5"/>
    </row>
    <row r="166" spans="1:27" x14ac:dyDescent="0.35">
      <c r="A166" s="55"/>
      <c r="B166" s="5"/>
      <c r="C166" s="5"/>
      <c r="D166" s="5"/>
      <c r="E166" s="5"/>
      <c r="F166" s="5"/>
      <c r="G166" s="5"/>
      <c r="H166" s="5"/>
      <c r="I166" s="5"/>
    </row>
    <row r="167" spans="1:27" x14ac:dyDescent="0.35">
      <c r="A167" s="55"/>
      <c r="B167" s="5"/>
      <c r="C167" s="5"/>
      <c r="D167" s="5"/>
      <c r="E167" s="5"/>
      <c r="F167" s="5"/>
      <c r="G167" s="5"/>
      <c r="H167" s="5"/>
      <c r="I167" s="5"/>
    </row>
    <row r="168" spans="1:27" x14ac:dyDescent="0.35">
      <c r="A168" s="55"/>
      <c r="B168" s="5"/>
      <c r="C168" s="5"/>
      <c r="D168" s="5"/>
      <c r="E168" s="5"/>
      <c r="F168" s="5"/>
      <c r="G168" s="5"/>
      <c r="H168" s="5"/>
      <c r="I168" s="5"/>
    </row>
    <row r="169" spans="1:27" x14ac:dyDescent="0.35">
      <c r="A169" s="55"/>
      <c r="B169" s="5"/>
      <c r="C169" s="5"/>
      <c r="D169" s="5"/>
      <c r="E169" s="5"/>
      <c r="F169" s="5"/>
      <c r="G169" s="5"/>
      <c r="H169" s="5"/>
      <c r="I169" s="5"/>
    </row>
    <row r="170" spans="1:27" x14ac:dyDescent="0.35">
      <c r="A170" s="55"/>
      <c r="B170" s="5"/>
      <c r="C170" s="5"/>
      <c r="D170" s="5"/>
      <c r="E170" s="5"/>
      <c r="F170" s="5"/>
      <c r="G170" s="5"/>
      <c r="H170" s="5"/>
      <c r="I170" s="5"/>
    </row>
    <row r="171" spans="1:27" x14ac:dyDescent="0.35">
      <c r="A171" s="55"/>
      <c r="B171" s="5"/>
      <c r="C171" s="5"/>
      <c r="D171" s="5"/>
      <c r="E171" s="5"/>
      <c r="F171" s="5"/>
      <c r="G171" s="5"/>
      <c r="H171" s="5"/>
      <c r="I171" s="5"/>
    </row>
    <row r="172" spans="1:27" x14ac:dyDescent="0.35">
      <c r="A172" s="55"/>
      <c r="B172" s="5"/>
      <c r="C172" s="5"/>
      <c r="D172" s="5"/>
      <c r="E172" s="5"/>
      <c r="F172" s="5"/>
      <c r="G172" s="5"/>
      <c r="H172" s="5"/>
      <c r="I172" s="5"/>
    </row>
    <row r="173" spans="1:27" x14ac:dyDescent="0.35">
      <c r="A173" s="55"/>
      <c r="B173" s="5"/>
      <c r="C173" s="5"/>
      <c r="D173" s="5"/>
      <c r="E173" s="5"/>
      <c r="F173" s="5"/>
      <c r="G173" s="5"/>
      <c r="H173" s="5"/>
      <c r="I173" s="5"/>
    </row>
    <row r="174" spans="1:27" x14ac:dyDescent="0.35">
      <c r="A174" s="55"/>
      <c r="B174" s="5"/>
      <c r="C174" s="5"/>
      <c r="D174" s="5"/>
      <c r="E174" s="5"/>
      <c r="F174" s="5"/>
      <c r="G174" s="5"/>
      <c r="H174" s="5"/>
      <c r="I174" s="5"/>
    </row>
    <row r="175" spans="1:27" x14ac:dyDescent="0.35">
      <c r="A175" s="55"/>
      <c r="B175" s="5"/>
      <c r="C175" s="5"/>
      <c r="D175" s="5"/>
      <c r="E175" s="5"/>
      <c r="F175" s="5"/>
      <c r="G175" s="5"/>
      <c r="H175" s="5"/>
      <c r="I175" s="5"/>
    </row>
    <row r="176" spans="1:27" x14ac:dyDescent="0.35">
      <c r="A176" s="55"/>
      <c r="B176" s="5"/>
      <c r="C176" s="5"/>
      <c r="D176" s="5"/>
      <c r="E176" s="5"/>
      <c r="F176" s="5"/>
      <c r="G176" s="5"/>
      <c r="H176" s="5"/>
      <c r="I176" s="5"/>
    </row>
    <row r="177" spans="1:9" x14ac:dyDescent="0.35">
      <c r="A177" s="55"/>
      <c r="B177" s="5"/>
      <c r="C177" s="5"/>
      <c r="D177" s="5"/>
      <c r="E177" s="5"/>
      <c r="F177" s="5"/>
      <c r="G177" s="5"/>
      <c r="H177" s="5"/>
      <c r="I177" s="5"/>
    </row>
    <row r="178" spans="1:9" x14ac:dyDescent="0.35">
      <c r="A178" s="55"/>
      <c r="B178" s="5"/>
      <c r="C178" s="5"/>
      <c r="D178" s="5"/>
      <c r="E178" s="5"/>
      <c r="F178" s="5"/>
      <c r="G178" s="5"/>
      <c r="H178" s="5"/>
      <c r="I178" s="5"/>
    </row>
    <row r="179" spans="1:9" x14ac:dyDescent="0.35">
      <c r="A179" s="55"/>
      <c r="B179" s="5"/>
      <c r="C179" s="5"/>
      <c r="D179" s="5"/>
      <c r="E179" s="5"/>
      <c r="F179" s="5"/>
      <c r="G179" s="5"/>
      <c r="H179" s="5"/>
      <c r="I179" s="5"/>
    </row>
    <row r="180" spans="1:9" x14ac:dyDescent="0.35">
      <c r="A180" s="55"/>
      <c r="B180" s="5"/>
      <c r="C180" s="5"/>
      <c r="D180" s="5"/>
      <c r="E180" s="5"/>
      <c r="F180" s="5"/>
      <c r="G180" s="5"/>
      <c r="H180" s="5"/>
      <c r="I180" s="5"/>
    </row>
    <row r="181" spans="1:9" x14ac:dyDescent="0.35">
      <c r="A181" s="55"/>
      <c r="B181" s="5"/>
      <c r="C181" s="5"/>
      <c r="D181" s="5"/>
      <c r="E181" s="5"/>
      <c r="F181" s="5"/>
      <c r="G181" s="5"/>
      <c r="H181" s="5"/>
      <c r="I181" s="5"/>
    </row>
    <row r="182" spans="1:9" x14ac:dyDescent="0.35">
      <c r="A182" s="55"/>
      <c r="B182" s="5"/>
      <c r="C182" s="5"/>
      <c r="D182" s="5"/>
      <c r="E182" s="5"/>
      <c r="F182" s="5"/>
      <c r="G182" s="5"/>
      <c r="H182" s="5"/>
      <c r="I182" s="5"/>
    </row>
    <row r="183" spans="1:9" x14ac:dyDescent="0.35">
      <c r="A183" s="55"/>
      <c r="B183" s="5"/>
      <c r="C183" s="5"/>
      <c r="D183" s="5"/>
      <c r="E183" s="5"/>
      <c r="F183" s="5"/>
      <c r="G183" s="5"/>
      <c r="H183" s="5"/>
      <c r="I183" s="5"/>
    </row>
    <row r="184" spans="1:9" x14ac:dyDescent="0.35">
      <c r="A184" s="55"/>
      <c r="B184" s="5"/>
      <c r="C184" s="5"/>
      <c r="D184" s="5"/>
      <c r="E184" s="5"/>
      <c r="F184" s="5"/>
      <c r="G184" s="5"/>
      <c r="H184" s="5"/>
      <c r="I184" s="5"/>
    </row>
    <row r="185" spans="1:9" x14ac:dyDescent="0.35">
      <c r="A185" s="55"/>
      <c r="B185" s="5"/>
      <c r="C185" s="5"/>
      <c r="D185" s="5"/>
      <c r="E185" s="5"/>
      <c r="F185" s="5"/>
      <c r="G185" s="5"/>
      <c r="H185" s="5"/>
      <c r="I185" s="5"/>
    </row>
    <row r="186" spans="1:9" x14ac:dyDescent="0.35">
      <c r="A186" s="55"/>
      <c r="B186" s="5"/>
      <c r="C186" s="5"/>
      <c r="D186" s="5"/>
      <c r="E186" s="5"/>
      <c r="F186" s="5"/>
      <c r="G186" s="5"/>
      <c r="H186" s="5"/>
      <c r="I186" s="5"/>
    </row>
    <row r="187" spans="1:9" x14ac:dyDescent="0.35">
      <c r="A187" s="55"/>
      <c r="B187" s="5"/>
      <c r="C187" s="5"/>
      <c r="D187" s="5"/>
      <c r="E187" s="5"/>
      <c r="F187" s="5"/>
      <c r="G187" s="5"/>
      <c r="H187" s="5"/>
      <c r="I187" s="5"/>
    </row>
    <row r="188" spans="1:9" x14ac:dyDescent="0.35">
      <c r="A188" s="55"/>
      <c r="B188" s="5"/>
      <c r="C188" s="5"/>
      <c r="D188" s="5"/>
      <c r="E188" s="5"/>
      <c r="F188" s="5"/>
      <c r="G188" s="5"/>
      <c r="H188" s="5"/>
      <c r="I188" s="5"/>
    </row>
    <row r="189" spans="1:9" x14ac:dyDescent="0.35">
      <c r="A189" s="55"/>
      <c r="B189" s="5"/>
      <c r="C189" s="5"/>
      <c r="D189" s="5"/>
      <c r="E189" s="5"/>
      <c r="F189" s="5"/>
      <c r="G189" s="5"/>
      <c r="H189" s="5"/>
      <c r="I189" s="5"/>
    </row>
    <row r="190" spans="1:9" x14ac:dyDescent="0.35">
      <c r="A190" s="55"/>
      <c r="B190" s="5"/>
      <c r="C190" s="5"/>
      <c r="D190" s="5"/>
      <c r="E190" s="5"/>
      <c r="F190" s="5"/>
      <c r="G190" s="5"/>
      <c r="H190" s="5"/>
      <c r="I190" s="5"/>
    </row>
    <row r="191" spans="1:9" x14ac:dyDescent="0.35">
      <c r="A191" s="55"/>
      <c r="B191" s="5"/>
      <c r="C191" s="5"/>
      <c r="D191" s="5"/>
      <c r="E191" s="5"/>
      <c r="F191" s="5"/>
      <c r="G191" s="5"/>
      <c r="H191" s="5"/>
      <c r="I191" s="5"/>
    </row>
    <row r="192" spans="1:9" x14ac:dyDescent="0.35">
      <c r="A192" s="55"/>
      <c r="B192" s="5"/>
      <c r="C192" s="5"/>
      <c r="D192" s="5"/>
      <c r="E192" s="5"/>
      <c r="F192" s="5"/>
      <c r="G192" s="5"/>
      <c r="H192" s="5"/>
      <c r="I192" s="5"/>
    </row>
    <row r="193" spans="1:9" x14ac:dyDescent="0.35">
      <c r="A193" s="55"/>
      <c r="B193" s="5"/>
      <c r="C193" s="5"/>
      <c r="D193" s="5"/>
      <c r="E193" s="5"/>
      <c r="F193" s="5"/>
      <c r="G193" s="5"/>
      <c r="H193" s="5"/>
      <c r="I193" s="5"/>
    </row>
    <row r="194" spans="1:9" x14ac:dyDescent="0.35">
      <c r="A194" s="55"/>
      <c r="B194" s="5"/>
      <c r="C194" s="5"/>
      <c r="D194" s="5"/>
      <c r="E194" s="5"/>
      <c r="F194" s="5"/>
      <c r="G194" s="5"/>
      <c r="H194" s="5"/>
      <c r="I194" s="5"/>
    </row>
    <row r="195" spans="1:9" x14ac:dyDescent="0.35">
      <c r="A195" s="55"/>
      <c r="B195" s="5"/>
      <c r="C195" s="5"/>
      <c r="D195" s="5"/>
      <c r="E195" s="5"/>
      <c r="F195" s="5"/>
      <c r="G195" s="5"/>
      <c r="H195" s="5"/>
      <c r="I195" s="5"/>
    </row>
    <row r="196" spans="1:9" x14ac:dyDescent="0.35">
      <c r="A196" s="55"/>
      <c r="B196" s="5"/>
      <c r="C196" s="5"/>
      <c r="D196" s="5"/>
      <c r="E196" s="5"/>
      <c r="F196" s="5"/>
      <c r="G196" s="5"/>
      <c r="H196" s="5"/>
      <c r="I196" s="5"/>
    </row>
    <row r="197" spans="1:9" x14ac:dyDescent="0.35">
      <c r="A197" s="55"/>
      <c r="B197" s="5"/>
      <c r="C197" s="5"/>
      <c r="D197" s="5"/>
      <c r="E197" s="5"/>
      <c r="F197" s="5"/>
      <c r="G197" s="5"/>
      <c r="H197" s="5"/>
      <c r="I197" s="5"/>
    </row>
    <row r="198" spans="1:9" x14ac:dyDescent="0.35">
      <c r="A198" s="55"/>
      <c r="B198" s="5"/>
      <c r="C198" s="5"/>
      <c r="D198" s="5"/>
      <c r="E198" s="5"/>
      <c r="F198" s="5"/>
      <c r="G198" s="5"/>
      <c r="H198" s="5"/>
      <c r="I198" s="5"/>
    </row>
    <row r="199" spans="1:9" x14ac:dyDescent="0.35">
      <c r="A199" s="55"/>
      <c r="B199" s="5"/>
      <c r="C199" s="5"/>
      <c r="D199" s="5"/>
      <c r="E199" s="5"/>
      <c r="F199" s="5"/>
      <c r="G199" s="5"/>
      <c r="H199" s="5"/>
      <c r="I199" s="5"/>
    </row>
    <row r="200" spans="1:9" x14ac:dyDescent="0.35">
      <c r="A200" s="55"/>
      <c r="B200" s="5"/>
      <c r="C200" s="5"/>
      <c r="D200" s="5"/>
      <c r="E200" s="5"/>
      <c r="F200" s="5"/>
      <c r="G200" s="5"/>
      <c r="H200" s="5"/>
      <c r="I200" s="5"/>
    </row>
    <row r="201" spans="1:9" x14ac:dyDescent="0.35">
      <c r="A201" s="55"/>
      <c r="B201" s="5"/>
      <c r="C201" s="5"/>
      <c r="D201" s="5"/>
      <c r="E201" s="5"/>
      <c r="F201" s="5"/>
      <c r="G201" s="5"/>
      <c r="H201" s="5"/>
      <c r="I201" s="5"/>
    </row>
    <row r="202" spans="1:9" x14ac:dyDescent="0.35">
      <c r="A202" s="55"/>
      <c r="B202" s="5"/>
      <c r="C202" s="5"/>
      <c r="D202" s="5"/>
      <c r="E202" s="5"/>
      <c r="F202" s="5"/>
      <c r="G202" s="5"/>
      <c r="H202" s="5"/>
      <c r="I202" s="5"/>
    </row>
    <row r="203" spans="1:9" x14ac:dyDescent="0.35">
      <c r="A203" s="55"/>
      <c r="B203" s="5"/>
      <c r="C203" s="5"/>
      <c r="D203" s="5"/>
      <c r="E203" s="5"/>
      <c r="F203" s="5"/>
      <c r="G203" s="5"/>
      <c r="H203" s="5"/>
      <c r="I203" s="5"/>
    </row>
    <row r="204" spans="1:9" x14ac:dyDescent="0.35">
      <c r="A204" s="55"/>
      <c r="B204" s="5"/>
      <c r="C204" s="5"/>
      <c r="D204" s="5"/>
      <c r="E204" s="5"/>
      <c r="F204" s="5"/>
      <c r="G204" s="5"/>
      <c r="H204" s="5"/>
      <c r="I204" s="5"/>
    </row>
    <row r="205" spans="1:9" x14ac:dyDescent="0.35">
      <c r="A205" s="55"/>
      <c r="B205" s="5"/>
      <c r="C205" s="5"/>
      <c r="D205" s="5"/>
      <c r="E205" s="5"/>
      <c r="F205" s="5"/>
      <c r="G205" s="5"/>
      <c r="H205" s="5"/>
      <c r="I205" s="5"/>
    </row>
    <row r="206" spans="1:9" x14ac:dyDescent="0.35">
      <c r="A206" s="55"/>
      <c r="B206" s="5"/>
      <c r="C206" s="5"/>
      <c r="D206" s="5"/>
      <c r="E206" s="5"/>
      <c r="F206" s="5"/>
      <c r="G206" s="5"/>
      <c r="H206" s="5"/>
      <c r="I206" s="5"/>
    </row>
    <row r="207" spans="1:9" x14ac:dyDescent="0.35">
      <c r="A207" s="55"/>
      <c r="B207" s="5"/>
      <c r="C207" s="5"/>
      <c r="D207" s="5"/>
      <c r="E207" s="5"/>
      <c r="F207" s="5"/>
      <c r="G207" s="5"/>
      <c r="H207" s="5"/>
      <c r="I207" s="5"/>
    </row>
    <row r="208" spans="1:9" x14ac:dyDescent="0.35">
      <c r="A208" s="55"/>
      <c r="B208" s="5"/>
      <c r="C208" s="5"/>
      <c r="D208" s="5"/>
      <c r="E208" s="5"/>
      <c r="F208" s="5"/>
      <c r="G208" s="5"/>
      <c r="H208" s="5"/>
      <c r="I208" s="5"/>
    </row>
    <row r="209" spans="1:9" x14ac:dyDescent="0.35">
      <c r="A209" s="55"/>
      <c r="B209" s="5"/>
      <c r="C209" s="5"/>
      <c r="D209" s="5"/>
      <c r="E209" s="5"/>
      <c r="F209" s="5"/>
      <c r="G209" s="5"/>
      <c r="H209" s="5"/>
      <c r="I209" s="5"/>
    </row>
    <row r="210" spans="1:9" x14ac:dyDescent="0.35">
      <c r="A210" s="55"/>
      <c r="B210" s="5"/>
      <c r="C210" s="5"/>
      <c r="D210" s="5"/>
      <c r="E210" s="5"/>
      <c r="F210" s="5"/>
      <c r="G210" s="5"/>
      <c r="H210" s="5"/>
      <c r="I210" s="5"/>
    </row>
  </sheetData>
  <printOptions horizontalCentered="1"/>
  <pageMargins left="0.25" right="0.25" top="0.5" bottom="0.5" header="0.3" footer="0.3"/>
  <pageSetup scale="47" orientation="landscape" r:id="rId1"/>
  <headerFooter>
    <oddFooter>&amp;RSchedule A-13
Page &amp;P of &amp;N</oddFooter>
  </headerFooter>
  <rowBreaks count="1" manualBreakCount="1">
    <brk id="5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pdfPage3">
                <anchor moveWithCells="1" sizeWithCells="1">
                  <from>
                    <xdr:col>0</xdr:col>
                    <xdr:colOff>19050</xdr:colOff>
                    <xdr:row>0</xdr:row>
                    <xdr:rowOff>12700</xdr:rowOff>
                  </from>
                  <to>
                    <xdr:col>0</xdr:col>
                    <xdr:colOff>38100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D80EB-677F-4153-8DCD-5D6B9EEA4922}">
  <sheetPr transitionEvaluation="1" transitionEntry="1" codeName="Sheet5">
    <pageSetUpPr fitToPage="1"/>
  </sheetPr>
  <dimension ref="A1:HB259"/>
  <sheetViews>
    <sheetView defaultGridColor="0" colorId="22" zoomScale="70" zoomScaleNormal="70" zoomScaleSheetLayoutView="125" workbookViewId="0">
      <selection activeCell="I6" sqref="A6:I6"/>
    </sheetView>
  </sheetViews>
  <sheetFormatPr defaultColWidth="9.58203125" defaultRowHeight="20.149999999999999" customHeight="1" x14ac:dyDescent="0.35"/>
  <cols>
    <col min="1" max="1" width="40.58203125" style="9" customWidth="1"/>
    <col min="2" max="9" width="18.83203125" customWidth="1"/>
  </cols>
  <sheetData>
    <row r="1" spans="1:210" s="2" customFormat="1" ht="21" x14ac:dyDescent="0.55000000000000004">
      <c r="A1" s="251" t="s">
        <v>0</v>
      </c>
      <c r="B1" s="251"/>
      <c r="C1" s="251"/>
      <c r="D1" s="251"/>
      <c r="E1" s="251"/>
      <c r="F1" s="273"/>
      <c r="G1" s="274"/>
      <c r="H1" s="275"/>
      <c r="I1" s="276"/>
    </row>
    <row r="2" spans="1:210" s="2" customFormat="1" ht="21" x14ac:dyDescent="0.55000000000000004">
      <c r="A2" s="265" t="s">
        <v>1</v>
      </c>
      <c r="B2" s="274"/>
      <c r="C2" s="277"/>
      <c r="D2" s="277"/>
      <c r="E2" s="277"/>
      <c r="F2" s="277"/>
      <c r="G2" s="277"/>
      <c r="H2" s="277"/>
      <c r="I2" s="278"/>
    </row>
    <row r="3" spans="1:210" s="2" customFormat="1" ht="21" x14ac:dyDescent="0.55000000000000004">
      <c r="A3" s="238" t="s">
        <v>2</v>
      </c>
      <c r="B3" s="274"/>
      <c r="C3" s="277"/>
      <c r="D3" s="277"/>
      <c r="E3" s="277"/>
      <c r="F3" s="277"/>
      <c r="G3" s="277"/>
      <c r="H3" s="277"/>
      <c r="I3" s="279"/>
    </row>
    <row r="4" spans="1:210" s="2" customFormat="1" ht="84" x14ac:dyDescent="0.55000000000000004">
      <c r="A4" s="238" t="s">
        <v>3</v>
      </c>
      <c r="B4" s="274"/>
      <c r="C4" s="280"/>
      <c r="D4" s="280"/>
      <c r="E4" s="280"/>
      <c r="F4" s="280"/>
      <c r="G4" s="280"/>
      <c r="H4" s="280"/>
      <c r="I4" s="251"/>
    </row>
    <row r="5" spans="1:210" s="2" customFormat="1" ht="63" x14ac:dyDescent="0.55000000000000004">
      <c r="A5" s="238" t="s">
        <v>4</v>
      </c>
      <c r="B5" s="251"/>
      <c r="C5" s="251"/>
      <c r="D5" s="251"/>
      <c r="E5" s="251"/>
      <c r="F5" s="273"/>
      <c r="G5" s="273"/>
      <c r="H5" s="273"/>
      <c r="I5" s="273"/>
    </row>
    <row r="6" spans="1:210" s="62" customFormat="1" ht="87.5" x14ac:dyDescent="0.35">
      <c r="A6" s="375" t="s">
        <v>34</v>
      </c>
      <c r="B6" s="343" t="s">
        <v>103</v>
      </c>
      <c r="C6" s="343" t="s">
        <v>104</v>
      </c>
      <c r="D6" s="343" t="s">
        <v>105</v>
      </c>
      <c r="E6" s="343" t="s">
        <v>106</v>
      </c>
      <c r="F6" s="457" t="s">
        <v>107</v>
      </c>
      <c r="G6" s="458" t="s">
        <v>108</v>
      </c>
      <c r="H6" s="459" t="s">
        <v>109</v>
      </c>
      <c r="I6" s="459" t="s">
        <v>110</v>
      </c>
    </row>
    <row r="7" spans="1:210" ht="17.5" x14ac:dyDescent="0.45">
      <c r="A7" s="269" t="s">
        <v>42</v>
      </c>
      <c r="B7" s="281">
        <v>102024</v>
      </c>
      <c r="C7" s="281">
        <v>61004</v>
      </c>
      <c r="D7" s="281">
        <v>61004</v>
      </c>
      <c r="E7" s="281">
        <v>2080</v>
      </c>
      <c r="F7" s="281">
        <v>242702</v>
      </c>
      <c r="G7" s="281">
        <v>18172.5</v>
      </c>
      <c r="H7" s="281">
        <v>20461</v>
      </c>
      <c r="I7" s="281">
        <v>154344</v>
      </c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</row>
    <row r="8" spans="1:210" ht="17.5" x14ac:dyDescent="0.45">
      <c r="A8" s="269" t="s">
        <v>43</v>
      </c>
      <c r="B8" s="281">
        <v>4688</v>
      </c>
      <c r="C8" s="281">
        <v>1264</v>
      </c>
      <c r="D8" s="281">
        <v>2081</v>
      </c>
      <c r="E8" s="281">
        <v>48</v>
      </c>
      <c r="F8" s="281">
        <v>8531</v>
      </c>
      <c r="G8" s="281">
        <v>9289.5</v>
      </c>
      <c r="H8" s="281">
        <v>15399</v>
      </c>
      <c r="I8" s="281">
        <v>105131</v>
      </c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</row>
    <row r="9" spans="1:210" ht="17.5" x14ac:dyDescent="0.45">
      <c r="A9" s="269" t="s">
        <v>44</v>
      </c>
      <c r="B9" s="281">
        <v>55744</v>
      </c>
      <c r="C9" s="281">
        <v>31070</v>
      </c>
      <c r="D9" s="281">
        <v>31070</v>
      </c>
      <c r="E9" s="281">
        <v>1140</v>
      </c>
      <c r="F9" s="281">
        <v>128565</v>
      </c>
      <c r="G9" s="281">
        <v>16090.5</v>
      </c>
      <c r="H9" s="281">
        <v>20752</v>
      </c>
      <c r="I9" s="281">
        <v>135903</v>
      </c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</row>
    <row r="10" spans="1:210" ht="17.5" x14ac:dyDescent="0.45">
      <c r="A10" s="269" t="s">
        <v>45</v>
      </c>
      <c r="B10" s="281">
        <v>78747</v>
      </c>
      <c r="C10" s="281">
        <v>47882</v>
      </c>
      <c r="D10" s="281">
        <v>60868</v>
      </c>
      <c r="E10" s="281">
        <v>2236</v>
      </c>
      <c r="F10" s="281">
        <v>208577</v>
      </c>
      <c r="G10" s="281">
        <v>20165.25</v>
      </c>
      <c r="H10" s="281">
        <v>26333</v>
      </c>
      <c r="I10" s="281">
        <v>190619</v>
      </c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</row>
    <row r="11" spans="1:210" ht="17.5" x14ac:dyDescent="0.45">
      <c r="A11" s="269" t="s">
        <v>46</v>
      </c>
      <c r="B11" s="281">
        <v>56999</v>
      </c>
      <c r="C11" s="281">
        <v>45002</v>
      </c>
      <c r="D11" s="281">
        <v>32016</v>
      </c>
      <c r="E11" s="281">
        <v>1091</v>
      </c>
      <c r="F11" s="281">
        <v>144624</v>
      </c>
      <c r="G11" s="281">
        <v>12320.5</v>
      </c>
      <c r="H11" s="281">
        <v>19448</v>
      </c>
      <c r="I11" s="281">
        <v>143872</v>
      </c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</row>
    <row r="12" spans="1:210" ht="17.5" x14ac:dyDescent="0.45">
      <c r="A12" s="269" t="s">
        <v>47</v>
      </c>
      <c r="B12" s="281">
        <v>29233</v>
      </c>
      <c r="C12" s="281">
        <v>2118</v>
      </c>
      <c r="D12" s="281">
        <v>1534</v>
      </c>
      <c r="E12" s="281">
        <v>99</v>
      </c>
      <c r="F12" s="281">
        <v>34110</v>
      </c>
      <c r="G12" s="281">
        <v>19858.5</v>
      </c>
      <c r="H12" s="281">
        <v>16106</v>
      </c>
      <c r="I12" s="281">
        <v>125581</v>
      </c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</row>
    <row r="13" spans="1:210" ht="17.5" x14ac:dyDescent="0.45">
      <c r="A13" s="269" t="s">
        <v>48</v>
      </c>
      <c r="B13" s="281">
        <v>88623</v>
      </c>
      <c r="C13" s="281">
        <v>58777</v>
      </c>
      <c r="D13" s="281">
        <v>58777</v>
      </c>
      <c r="E13" s="281">
        <v>2221</v>
      </c>
      <c r="F13" s="281">
        <v>228278</v>
      </c>
      <c r="G13" s="281">
        <v>19137</v>
      </c>
      <c r="H13" s="281">
        <v>24014</v>
      </c>
      <c r="I13" s="281">
        <v>152810</v>
      </c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</row>
    <row r="14" spans="1:210" ht="17.5" x14ac:dyDescent="0.45">
      <c r="A14" s="269" t="s">
        <v>49</v>
      </c>
      <c r="B14" s="281">
        <v>58673</v>
      </c>
      <c r="C14" s="281">
        <v>30266</v>
      </c>
      <c r="D14" s="281">
        <v>30266</v>
      </c>
      <c r="E14" s="281">
        <v>836</v>
      </c>
      <c r="F14" s="281">
        <v>131709</v>
      </c>
      <c r="G14" s="281">
        <v>13098.75</v>
      </c>
      <c r="H14" s="281">
        <v>22111</v>
      </c>
      <c r="I14" s="281">
        <v>153789</v>
      </c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</row>
    <row r="15" spans="1:210" ht="17.5" x14ac:dyDescent="0.45">
      <c r="A15" s="269" t="s">
        <v>50</v>
      </c>
      <c r="B15" s="281">
        <v>48275</v>
      </c>
      <c r="C15" s="281">
        <v>26023</v>
      </c>
      <c r="D15" s="281">
        <v>36296</v>
      </c>
      <c r="E15" s="281">
        <v>895</v>
      </c>
      <c r="F15" s="281">
        <v>121694</v>
      </c>
      <c r="G15" s="281">
        <v>17740.5</v>
      </c>
      <c r="H15" s="281">
        <v>18675</v>
      </c>
      <c r="I15" s="281">
        <v>119827</v>
      </c>
      <c r="J15" s="48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</row>
    <row r="16" spans="1:210" ht="17.5" x14ac:dyDescent="0.45">
      <c r="A16" s="269" t="s">
        <v>51</v>
      </c>
      <c r="B16" s="281">
        <v>35900</v>
      </c>
      <c r="C16" s="281">
        <v>23197</v>
      </c>
      <c r="D16" s="281">
        <v>24824</v>
      </c>
      <c r="E16" s="281">
        <v>1187</v>
      </c>
      <c r="F16" s="281">
        <v>93754</v>
      </c>
      <c r="G16" s="281">
        <v>10727.25</v>
      </c>
      <c r="H16" s="281">
        <v>13219</v>
      </c>
      <c r="I16" s="281">
        <v>87692</v>
      </c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</row>
    <row r="17" spans="1:210" ht="17.5" x14ac:dyDescent="0.45">
      <c r="A17" s="269" t="s">
        <v>52</v>
      </c>
      <c r="B17" s="281">
        <v>14744</v>
      </c>
      <c r="C17" s="281">
        <v>7728</v>
      </c>
      <c r="D17" s="281">
        <v>6737</v>
      </c>
      <c r="E17" s="281">
        <v>285</v>
      </c>
      <c r="F17" s="281">
        <v>31940</v>
      </c>
      <c r="G17" s="281">
        <v>6062.25</v>
      </c>
      <c r="H17" s="281">
        <v>5420</v>
      </c>
      <c r="I17" s="281">
        <v>45772</v>
      </c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</row>
    <row r="18" spans="1:210" ht="17.5" x14ac:dyDescent="0.45">
      <c r="A18" s="269" t="s">
        <v>53</v>
      </c>
      <c r="B18" s="281">
        <v>14574</v>
      </c>
      <c r="C18" s="281">
        <v>7824</v>
      </c>
      <c r="D18" s="281">
        <v>8915</v>
      </c>
      <c r="E18" s="281">
        <v>285</v>
      </c>
      <c r="F18" s="281">
        <v>34214</v>
      </c>
      <c r="G18" s="281">
        <v>5849.25</v>
      </c>
      <c r="H18" s="281">
        <v>5167</v>
      </c>
      <c r="I18" s="281">
        <v>40834</v>
      </c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</row>
    <row r="19" spans="1:210" ht="17.5" x14ac:dyDescent="0.45">
      <c r="A19" s="269" t="s">
        <v>54</v>
      </c>
      <c r="B19" s="281">
        <v>10649</v>
      </c>
      <c r="C19" s="281">
        <v>5822</v>
      </c>
      <c r="D19" s="281">
        <v>5822</v>
      </c>
      <c r="E19" s="281">
        <v>571</v>
      </c>
      <c r="F19" s="281">
        <v>26093</v>
      </c>
      <c r="G19" s="281">
        <v>7815.75</v>
      </c>
      <c r="H19" s="281">
        <v>9264</v>
      </c>
      <c r="I19" s="281">
        <v>62632</v>
      </c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</row>
    <row r="20" spans="1:210" ht="17.5" x14ac:dyDescent="0.45">
      <c r="A20" s="269" t="s">
        <v>55</v>
      </c>
      <c r="B20" s="281">
        <v>19934</v>
      </c>
      <c r="C20" s="281">
        <v>10074</v>
      </c>
      <c r="D20" s="281">
        <v>10186</v>
      </c>
      <c r="E20" s="281">
        <v>428</v>
      </c>
      <c r="F20" s="281">
        <v>45111</v>
      </c>
      <c r="G20" s="281">
        <v>8326.5</v>
      </c>
      <c r="H20" s="281">
        <v>9932</v>
      </c>
      <c r="I20" s="281">
        <v>74003</v>
      </c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</row>
    <row r="21" spans="1:210" ht="17.5" x14ac:dyDescent="0.45">
      <c r="A21" s="269" t="s">
        <v>56</v>
      </c>
      <c r="B21" s="281">
        <v>-1279</v>
      </c>
      <c r="C21" s="281">
        <v>312</v>
      </c>
      <c r="D21" s="281">
        <v>4894</v>
      </c>
      <c r="E21" s="281">
        <v>266</v>
      </c>
      <c r="F21" s="281">
        <v>4222</v>
      </c>
      <c r="G21" s="281">
        <v>5529</v>
      </c>
      <c r="H21" s="281">
        <v>16557</v>
      </c>
      <c r="I21" s="281">
        <v>108456</v>
      </c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</row>
    <row r="22" spans="1:210" ht="17.5" x14ac:dyDescent="0.45">
      <c r="A22" s="269" t="s">
        <v>57</v>
      </c>
      <c r="B22" s="282">
        <v>0</v>
      </c>
      <c r="C22" s="282">
        <v>0</v>
      </c>
      <c r="D22" s="282">
        <v>0</v>
      </c>
      <c r="E22" s="282">
        <v>0</v>
      </c>
      <c r="F22" s="283">
        <v>0</v>
      </c>
      <c r="G22" s="281">
        <v>4877.25</v>
      </c>
      <c r="H22" s="281">
        <v>15906</v>
      </c>
      <c r="I22" s="281">
        <v>107381</v>
      </c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</row>
    <row r="23" spans="1:210" ht="17.5" x14ac:dyDescent="0.45">
      <c r="A23" s="269" t="s">
        <v>58</v>
      </c>
      <c r="B23" s="283">
        <v>0</v>
      </c>
      <c r="C23" s="281">
        <v>21250</v>
      </c>
      <c r="D23" s="281">
        <v>21250</v>
      </c>
      <c r="E23" s="281">
        <v>0</v>
      </c>
      <c r="F23" s="281">
        <v>42500</v>
      </c>
      <c r="G23" s="281">
        <v>18054</v>
      </c>
      <c r="H23" s="281">
        <v>12745</v>
      </c>
      <c r="I23" s="281">
        <v>106009</v>
      </c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</row>
    <row r="24" spans="1:210" ht="17.5" x14ac:dyDescent="0.45">
      <c r="A24" s="269" t="s">
        <v>59</v>
      </c>
      <c r="B24" s="283">
        <v>0</v>
      </c>
      <c r="C24" s="281">
        <v>8613</v>
      </c>
      <c r="D24" s="281">
        <v>8613</v>
      </c>
      <c r="E24" s="281">
        <v>0</v>
      </c>
      <c r="F24" s="281">
        <v>17623</v>
      </c>
      <c r="G24" s="281">
        <v>11897.25</v>
      </c>
      <c r="H24" s="281">
        <v>9642</v>
      </c>
      <c r="I24" s="281">
        <v>88329</v>
      </c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</row>
    <row r="25" spans="1:210" ht="17.5" x14ac:dyDescent="0.45">
      <c r="A25" s="269" t="s">
        <v>111</v>
      </c>
      <c r="B25" s="283">
        <v>0</v>
      </c>
      <c r="C25" s="281">
        <v>3375</v>
      </c>
      <c r="D25" s="281">
        <v>-3375</v>
      </c>
      <c r="E25" s="281">
        <v>0</v>
      </c>
      <c r="F25" s="281">
        <v>-397</v>
      </c>
      <c r="G25" s="281">
        <v>12580.5</v>
      </c>
      <c r="H25" s="281">
        <v>12456</v>
      </c>
      <c r="I25" s="281">
        <v>89632</v>
      </c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</row>
    <row r="26" spans="1:210" ht="17.5" x14ac:dyDescent="0.45">
      <c r="A26" s="269" t="s">
        <v>60</v>
      </c>
      <c r="B26" s="281">
        <v>38229</v>
      </c>
      <c r="C26" s="281">
        <v>25489</v>
      </c>
      <c r="D26" s="281">
        <v>17358</v>
      </c>
      <c r="E26" s="281">
        <v>9</v>
      </c>
      <c r="F26" s="281">
        <v>83185</v>
      </c>
      <c r="G26" s="281">
        <v>8940</v>
      </c>
      <c r="H26" s="281">
        <v>10049</v>
      </c>
      <c r="I26" s="281">
        <v>66102</v>
      </c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</row>
    <row r="27" spans="1:210" ht="17.5" x14ac:dyDescent="0.45">
      <c r="A27" s="270" t="s">
        <v>61</v>
      </c>
      <c r="B27" s="281">
        <v>56066</v>
      </c>
      <c r="C27" s="281">
        <v>24111</v>
      </c>
      <c r="D27" s="281">
        <v>32542</v>
      </c>
      <c r="E27" s="281">
        <v>514</v>
      </c>
      <c r="F27" s="281">
        <v>118507</v>
      </c>
      <c r="G27" s="281">
        <v>7011.75</v>
      </c>
      <c r="H27" s="281">
        <v>10374</v>
      </c>
      <c r="I27" s="281">
        <v>93404</v>
      </c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</row>
    <row r="28" spans="1:210" ht="17.5" x14ac:dyDescent="0.45">
      <c r="A28" s="270" t="s">
        <v>62</v>
      </c>
      <c r="B28" s="281">
        <v>8048</v>
      </c>
      <c r="C28" s="281">
        <v>26024</v>
      </c>
      <c r="D28" s="281">
        <v>21524</v>
      </c>
      <c r="E28" s="281">
        <v>823</v>
      </c>
      <c r="F28" s="281">
        <v>60741</v>
      </c>
      <c r="G28" s="281">
        <v>12946.5</v>
      </c>
      <c r="H28" s="281">
        <v>10275</v>
      </c>
      <c r="I28" s="281">
        <v>90693</v>
      </c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</row>
    <row r="29" spans="1:210" ht="17.5" x14ac:dyDescent="0.45">
      <c r="A29" s="270" t="s">
        <v>63</v>
      </c>
      <c r="B29" s="281">
        <v>39966</v>
      </c>
      <c r="C29" s="281">
        <v>6273</v>
      </c>
      <c r="D29" s="281">
        <v>1773</v>
      </c>
      <c r="E29" s="281">
        <v>64</v>
      </c>
      <c r="F29" s="281">
        <v>53620</v>
      </c>
      <c r="G29" s="281">
        <v>17439</v>
      </c>
      <c r="H29" s="281">
        <v>10897</v>
      </c>
      <c r="I29" s="281">
        <v>99167</v>
      </c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</row>
    <row r="30" spans="1:210" ht="17.5" x14ac:dyDescent="0.45">
      <c r="A30" s="270" t="s">
        <v>64</v>
      </c>
      <c r="B30" s="281">
        <v>21219</v>
      </c>
      <c r="C30" s="281">
        <v>9453</v>
      </c>
      <c r="D30" s="281">
        <v>10094</v>
      </c>
      <c r="E30" s="281">
        <v>438</v>
      </c>
      <c r="F30" s="281">
        <v>47440</v>
      </c>
      <c r="G30" s="281">
        <v>13573</v>
      </c>
      <c r="H30" s="281">
        <v>17853</v>
      </c>
      <c r="I30" s="281">
        <v>111975</v>
      </c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</row>
    <row r="31" spans="1:210" ht="17.5" x14ac:dyDescent="0.45">
      <c r="A31" s="270" t="s">
        <v>65</v>
      </c>
      <c r="B31" s="281">
        <v>9664</v>
      </c>
      <c r="C31" s="281">
        <v>6650</v>
      </c>
      <c r="D31" s="281">
        <v>10791</v>
      </c>
      <c r="E31" s="281">
        <v>354</v>
      </c>
      <c r="F31" s="281">
        <v>30049</v>
      </c>
      <c r="G31" s="281">
        <v>11273</v>
      </c>
      <c r="H31" s="281">
        <v>14545</v>
      </c>
      <c r="I31" s="281">
        <v>85094</v>
      </c>
      <c r="J31" s="30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</row>
    <row r="32" spans="1:210" ht="17.5" x14ac:dyDescent="0.45">
      <c r="A32" s="271" t="s">
        <v>66</v>
      </c>
      <c r="B32" s="283">
        <v>0</v>
      </c>
      <c r="C32" s="281">
        <v>2469</v>
      </c>
      <c r="D32" s="281">
        <v>2469</v>
      </c>
      <c r="E32" s="283">
        <v>0</v>
      </c>
      <c r="F32" s="281">
        <v>4938</v>
      </c>
      <c r="G32" s="281">
        <v>17260</v>
      </c>
      <c r="H32" s="281">
        <v>11256</v>
      </c>
      <c r="I32" s="281">
        <v>77075</v>
      </c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</row>
    <row r="33" spans="1:210" ht="17.5" x14ac:dyDescent="0.45">
      <c r="A33" s="269" t="s">
        <v>67</v>
      </c>
      <c r="B33" s="281">
        <v>26650</v>
      </c>
      <c r="C33" s="281">
        <v>15551</v>
      </c>
      <c r="D33" s="281">
        <v>15551</v>
      </c>
      <c r="E33" s="281">
        <v>571</v>
      </c>
      <c r="F33" s="281">
        <v>64150</v>
      </c>
      <c r="G33" s="281">
        <v>7020</v>
      </c>
      <c r="H33" s="281">
        <v>9383</v>
      </c>
      <c r="I33" s="281">
        <v>74071</v>
      </c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</row>
    <row r="34" spans="1:210" ht="17.5" x14ac:dyDescent="0.45">
      <c r="A34" s="269" t="s">
        <v>68</v>
      </c>
      <c r="B34" s="281">
        <v>11845</v>
      </c>
      <c r="C34" s="281">
        <v>7236</v>
      </c>
      <c r="D34" s="281">
        <v>7236</v>
      </c>
      <c r="E34" s="281">
        <v>457</v>
      </c>
      <c r="F34" s="281">
        <v>30507</v>
      </c>
      <c r="G34" s="281">
        <v>8230</v>
      </c>
      <c r="H34" s="281">
        <v>6302</v>
      </c>
      <c r="I34" s="281">
        <v>41062</v>
      </c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</row>
    <row r="35" spans="1:210" ht="17.5" x14ac:dyDescent="0.45">
      <c r="A35" s="269" t="s">
        <v>69</v>
      </c>
      <c r="B35" s="281">
        <v>9475</v>
      </c>
      <c r="C35" s="281">
        <v>8315</v>
      </c>
      <c r="D35" s="281">
        <v>8315</v>
      </c>
      <c r="E35" s="281">
        <v>114</v>
      </c>
      <c r="F35" s="281">
        <v>28313</v>
      </c>
      <c r="G35" s="281">
        <v>2814</v>
      </c>
      <c r="H35" s="281">
        <v>2684</v>
      </c>
      <c r="I35" s="281">
        <v>33588</v>
      </c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</row>
    <row r="36" spans="1:210" ht="17.5" x14ac:dyDescent="0.45">
      <c r="A36" s="270" t="s">
        <v>70</v>
      </c>
      <c r="B36" s="281">
        <v>5330</v>
      </c>
      <c r="C36" s="281">
        <v>7350</v>
      </c>
      <c r="D36" s="281">
        <v>7350</v>
      </c>
      <c r="E36" s="281">
        <v>514</v>
      </c>
      <c r="F36" s="281">
        <v>25789</v>
      </c>
      <c r="G36" s="281">
        <v>6386</v>
      </c>
      <c r="H36" s="281">
        <v>4839</v>
      </c>
      <c r="I36" s="281">
        <v>30043</v>
      </c>
      <c r="J36" s="30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</row>
    <row r="37" spans="1:210" ht="17.5" x14ac:dyDescent="0.45">
      <c r="A37" s="269" t="s">
        <v>71</v>
      </c>
      <c r="B37" s="281">
        <v>30315</v>
      </c>
      <c r="C37" s="281">
        <v>4528</v>
      </c>
      <c r="D37" s="281">
        <v>4528</v>
      </c>
      <c r="E37" s="283">
        <v>0</v>
      </c>
      <c r="F37" s="281">
        <v>40018</v>
      </c>
      <c r="G37" s="281">
        <v>7394</v>
      </c>
      <c r="H37" s="281">
        <v>8492</v>
      </c>
      <c r="I37" s="281">
        <v>74697</v>
      </c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</row>
    <row r="38" spans="1:210" ht="17.5" x14ac:dyDescent="0.45">
      <c r="A38" s="269" t="s">
        <v>72</v>
      </c>
      <c r="B38" s="283">
        <v>0</v>
      </c>
      <c r="C38" s="281">
        <v>4712</v>
      </c>
      <c r="D38" s="281">
        <v>4712</v>
      </c>
      <c r="E38" s="283">
        <v>0</v>
      </c>
      <c r="F38" s="281">
        <v>9418</v>
      </c>
      <c r="G38" s="281">
        <v>6403</v>
      </c>
      <c r="H38" s="281">
        <v>7136</v>
      </c>
      <c r="I38" s="281">
        <v>63708</v>
      </c>
      <c r="J38" s="30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</row>
    <row r="39" spans="1:210" ht="17.5" x14ac:dyDescent="0.45">
      <c r="A39" s="269" t="s">
        <v>73</v>
      </c>
      <c r="B39" s="281">
        <v>29916</v>
      </c>
      <c r="C39" s="281">
        <v>10241</v>
      </c>
      <c r="D39" s="281">
        <v>10241</v>
      </c>
      <c r="E39" s="281">
        <v>457</v>
      </c>
      <c r="F39" s="281">
        <v>57809</v>
      </c>
      <c r="G39" s="281">
        <v>1600</v>
      </c>
      <c r="H39" s="281">
        <v>1699</v>
      </c>
      <c r="I39" s="281">
        <v>33000</v>
      </c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</row>
    <row r="40" spans="1:210" ht="17.5" x14ac:dyDescent="0.45">
      <c r="A40" s="269" t="s">
        <v>74</v>
      </c>
      <c r="B40" s="281">
        <v>2064</v>
      </c>
      <c r="C40" s="281">
        <v>3908</v>
      </c>
      <c r="D40" s="281">
        <v>3708</v>
      </c>
      <c r="E40" s="283">
        <v>0</v>
      </c>
      <c r="F40" s="281">
        <v>9680</v>
      </c>
      <c r="G40" s="281">
        <v>15</v>
      </c>
      <c r="H40" s="281">
        <v>2237</v>
      </c>
      <c r="I40" s="281">
        <v>8228</v>
      </c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</row>
    <row r="41" spans="1:210" ht="17.5" x14ac:dyDescent="0.45">
      <c r="A41" s="269" t="s">
        <v>75</v>
      </c>
      <c r="B41" s="281">
        <v>271</v>
      </c>
      <c r="C41" s="281">
        <v>-200</v>
      </c>
      <c r="D41" s="283">
        <v>0</v>
      </c>
      <c r="E41" s="283">
        <v>0</v>
      </c>
      <c r="F41" s="281">
        <v>71</v>
      </c>
      <c r="G41" s="281">
        <v>462</v>
      </c>
      <c r="H41" s="281">
        <v>571</v>
      </c>
      <c r="I41" s="281">
        <v>3711</v>
      </c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</row>
    <row r="42" spans="1:210" ht="17.5" x14ac:dyDescent="0.45">
      <c r="A42" s="269" t="s">
        <v>76</v>
      </c>
      <c r="B42" s="281">
        <v>-271</v>
      </c>
      <c r="C42" s="283">
        <v>0</v>
      </c>
      <c r="D42" s="283">
        <v>0</v>
      </c>
      <c r="E42" s="283">
        <v>0</v>
      </c>
      <c r="F42" s="281">
        <v>-271</v>
      </c>
      <c r="G42" s="281">
        <v>3138</v>
      </c>
      <c r="H42" s="281">
        <v>422</v>
      </c>
      <c r="I42" s="281">
        <v>3993</v>
      </c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</row>
    <row r="43" spans="1:210" ht="17.5" x14ac:dyDescent="0.45">
      <c r="A43" s="269" t="s">
        <v>77</v>
      </c>
      <c r="B43" s="284">
        <v>0</v>
      </c>
      <c r="C43" s="284">
        <v>0</v>
      </c>
      <c r="D43" s="284">
        <v>0</v>
      </c>
      <c r="E43" s="281">
        <v>300</v>
      </c>
      <c r="F43" s="281">
        <v>600</v>
      </c>
      <c r="G43" s="281">
        <v>184</v>
      </c>
      <c r="H43" s="281">
        <v>3108</v>
      </c>
      <c r="I43" s="281">
        <v>35121</v>
      </c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</row>
    <row r="44" spans="1:210" ht="17.5" x14ac:dyDescent="0.45">
      <c r="A44" s="269" t="s">
        <v>78</v>
      </c>
      <c r="B44" s="281">
        <v>16717</v>
      </c>
      <c r="C44" s="281">
        <v>10853</v>
      </c>
      <c r="D44" s="281">
        <v>9563</v>
      </c>
      <c r="E44" s="281">
        <v>298</v>
      </c>
      <c r="F44" s="281">
        <v>40425</v>
      </c>
      <c r="G44" s="281">
        <v>17372</v>
      </c>
      <c r="H44" s="281">
        <v>6371</v>
      </c>
      <c r="I44" s="281">
        <v>91610</v>
      </c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</row>
    <row r="45" spans="1:210" ht="17.5" x14ac:dyDescent="0.45">
      <c r="A45" s="269" t="s">
        <v>79</v>
      </c>
      <c r="B45" s="281">
        <v>10431</v>
      </c>
      <c r="C45" s="281">
        <v>6253</v>
      </c>
      <c r="D45" s="281">
        <v>7543</v>
      </c>
      <c r="E45" s="281">
        <v>273</v>
      </c>
      <c r="F45" s="281">
        <v>27333</v>
      </c>
      <c r="G45" s="281">
        <v>7066</v>
      </c>
      <c r="H45" s="281">
        <v>3641</v>
      </c>
      <c r="I45" s="281">
        <v>60779</v>
      </c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</row>
    <row r="46" spans="1:210" ht="17.5" x14ac:dyDescent="0.45">
      <c r="A46" s="269" t="s">
        <v>80</v>
      </c>
      <c r="B46" s="281">
        <v>10660</v>
      </c>
      <c r="C46" s="281">
        <v>6220</v>
      </c>
      <c r="D46" s="281">
        <v>6220</v>
      </c>
      <c r="E46" s="281">
        <v>0</v>
      </c>
      <c r="F46" s="281">
        <v>23700</v>
      </c>
      <c r="G46" s="281">
        <v>12805</v>
      </c>
      <c r="H46" s="281">
        <v>4473</v>
      </c>
      <c r="I46" s="281">
        <v>44323</v>
      </c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</row>
    <row r="47" spans="1:210" ht="17.5" x14ac:dyDescent="0.45">
      <c r="A47" s="269" t="s">
        <v>81</v>
      </c>
      <c r="B47" s="281">
        <v>679</v>
      </c>
      <c r="C47" s="281">
        <v>0</v>
      </c>
      <c r="D47" s="281">
        <v>0</v>
      </c>
      <c r="E47" s="281">
        <v>0</v>
      </c>
      <c r="F47" s="281">
        <v>679</v>
      </c>
      <c r="G47" s="281">
        <v>1974</v>
      </c>
      <c r="H47" s="281">
        <v>2276</v>
      </c>
      <c r="I47" s="281">
        <v>19271</v>
      </c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</row>
    <row r="48" spans="1:210" ht="17.5" x14ac:dyDescent="0.45">
      <c r="A48" s="269" t="s">
        <v>82</v>
      </c>
      <c r="B48" s="281">
        <v>5498.1428571428569</v>
      </c>
      <c r="C48" s="281">
        <v>3303.7142857142858</v>
      </c>
      <c r="D48" s="281">
        <v>3332.2857142857142</v>
      </c>
      <c r="E48" s="281">
        <v>124.42857142857143</v>
      </c>
      <c r="F48" s="281">
        <v>13219.571428571428</v>
      </c>
      <c r="G48" s="281">
        <v>6143</v>
      </c>
      <c r="H48" s="281">
        <v>2980.2857142857142</v>
      </c>
      <c r="I48" s="281">
        <v>36972.571428571428</v>
      </c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</row>
    <row r="49" spans="1:210" ht="17.5" x14ac:dyDescent="0.45">
      <c r="A49" s="269" t="s">
        <v>83</v>
      </c>
      <c r="B49" s="281">
        <v>5498.1428571428569</v>
      </c>
      <c r="C49" s="281">
        <v>3303.7142857142858</v>
      </c>
      <c r="D49" s="281">
        <v>3332.2857142857142</v>
      </c>
      <c r="E49" s="281">
        <v>124.42857142857143</v>
      </c>
      <c r="F49" s="281">
        <v>13219.571428571428</v>
      </c>
      <c r="G49" s="281">
        <v>6143</v>
      </c>
      <c r="H49" s="281">
        <v>2980.2857142857142</v>
      </c>
      <c r="I49" s="281">
        <v>36972.571428571428</v>
      </c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</row>
    <row r="50" spans="1:210" ht="17.5" x14ac:dyDescent="0.45">
      <c r="A50" s="269" t="s">
        <v>84</v>
      </c>
      <c r="B50" s="281">
        <v>5498.1428571428569</v>
      </c>
      <c r="C50" s="281">
        <v>3303.7142857142858</v>
      </c>
      <c r="D50" s="281">
        <v>3332.2857142857142</v>
      </c>
      <c r="E50" s="281">
        <v>124.42857142857143</v>
      </c>
      <c r="F50" s="281">
        <v>13219.571428571428</v>
      </c>
      <c r="G50" s="281">
        <v>6143</v>
      </c>
      <c r="H50" s="281">
        <v>2980.2857142857142</v>
      </c>
      <c r="I50" s="281">
        <v>36972.571428571428</v>
      </c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</row>
    <row r="51" spans="1:210" ht="17.5" x14ac:dyDescent="0.45">
      <c r="A51" s="269" t="s">
        <v>85</v>
      </c>
      <c r="B51" s="281">
        <v>5498.1428571428569</v>
      </c>
      <c r="C51" s="281">
        <v>3303.7142857142858</v>
      </c>
      <c r="D51" s="281">
        <v>3332.2857142857142</v>
      </c>
      <c r="E51" s="281">
        <v>124.42857142857143</v>
      </c>
      <c r="F51" s="281">
        <v>13219.571428571428</v>
      </c>
      <c r="G51" s="281">
        <v>6143</v>
      </c>
      <c r="H51" s="281">
        <v>2980.2857142857142</v>
      </c>
      <c r="I51" s="281">
        <v>36972.571428571428</v>
      </c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</row>
    <row r="52" spans="1:210" ht="17.5" x14ac:dyDescent="0.45">
      <c r="A52" s="269" t="s">
        <v>86</v>
      </c>
      <c r="B52" s="281">
        <v>5498.1428571428569</v>
      </c>
      <c r="C52" s="281">
        <v>3303.7142857142858</v>
      </c>
      <c r="D52" s="281">
        <v>3332.2857142857142</v>
      </c>
      <c r="E52" s="281">
        <v>124.42857142857143</v>
      </c>
      <c r="F52" s="281">
        <v>13219.571428571428</v>
      </c>
      <c r="G52" s="281">
        <v>6143</v>
      </c>
      <c r="H52" s="281">
        <v>2980.2857142857142</v>
      </c>
      <c r="I52" s="281">
        <v>36972.571428571428</v>
      </c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</row>
    <row r="53" spans="1:210" ht="17.5" x14ac:dyDescent="0.45">
      <c r="A53" s="269" t="s">
        <v>87</v>
      </c>
      <c r="B53" s="281">
        <v>5498.1428571428569</v>
      </c>
      <c r="C53" s="281">
        <v>3303.7142857142858</v>
      </c>
      <c r="D53" s="281">
        <v>3332.2857142857142</v>
      </c>
      <c r="E53" s="281">
        <v>124.42857142857143</v>
      </c>
      <c r="F53" s="281">
        <v>13219.571428571428</v>
      </c>
      <c r="G53" s="281">
        <v>6143</v>
      </c>
      <c r="H53" s="281">
        <v>2980.2857142857142</v>
      </c>
      <c r="I53" s="281">
        <v>36972.571428571428</v>
      </c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</row>
    <row r="54" spans="1:210" ht="17.5" x14ac:dyDescent="0.45">
      <c r="A54" s="269" t="s">
        <v>88</v>
      </c>
      <c r="B54" s="281">
        <v>5498.1428571428569</v>
      </c>
      <c r="C54" s="281">
        <v>3303.7142857142858</v>
      </c>
      <c r="D54" s="281">
        <v>3332.2857142857142</v>
      </c>
      <c r="E54" s="281">
        <v>124.42857142857143</v>
      </c>
      <c r="F54" s="281">
        <v>13219.571428571428</v>
      </c>
      <c r="G54" s="281">
        <v>6143</v>
      </c>
      <c r="H54" s="281">
        <v>2980.2857142857142</v>
      </c>
      <c r="I54" s="281">
        <v>36972.571428571428</v>
      </c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</row>
    <row r="55" spans="1:210" ht="17.5" x14ac:dyDescent="0.45">
      <c r="A55" s="269" t="s">
        <v>89</v>
      </c>
      <c r="B55" s="281">
        <v>5498.1428571428569</v>
      </c>
      <c r="C55" s="281">
        <v>3303.7142857142858</v>
      </c>
      <c r="D55" s="281">
        <v>3332.2857142857142</v>
      </c>
      <c r="E55" s="281">
        <v>124.42857142857143</v>
      </c>
      <c r="F55" s="281">
        <v>13219.571428571428</v>
      </c>
      <c r="G55" s="281">
        <v>6143</v>
      </c>
      <c r="H55" s="281">
        <v>2980.2857142857142</v>
      </c>
      <c r="I55" s="281">
        <v>36972.571428571428</v>
      </c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</row>
    <row r="56" spans="1:210" ht="18" thickBot="1" x14ac:dyDescent="0.5">
      <c r="A56" s="269" t="s">
        <v>90</v>
      </c>
      <c r="B56" s="281">
        <v>5498.1428571428569</v>
      </c>
      <c r="C56" s="281">
        <v>3303.7142857142858</v>
      </c>
      <c r="D56" s="281">
        <v>3332.2857142857142</v>
      </c>
      <c r="E56" s="281">
        <v>124.42857142857143</v>
      </c>
      <c r="F56" s="281">
        <v>13219.571428571428</v>
      </c>
      <c r="G56" s="281">
        <v>6143</v>
      </c>
      <c r="H56" s="281">
        <v>2980.2857142857142</v>
      </c>
      <c r="I56" s="281">
        <v>36972.571428571428</v>
      </c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</row>
    <row r="57" spans="1:210" ht="17.5" x14ac:dyDescent="0.45">
      <c r="A57" s="269" t="s">
        <v>91</v>
      </c>
      <c r="B57" s="285">
        <v>994285.28571428556</v>
      </c>
      <c r="C57" s="285">
        <v>606770.42857142887</v>
      </c>
      <c r="D57" s="285">
        <v>613286.57142857113</v>
      </c>
      <c r="E57" s="285">
        <v>19973.857142857152</v>
      </c>
      <c r="F57" s="285">
        <v>2419527.1428571423</v>
      </c>
      <c r="G57" s="285">
        <v>464185.25</v>
      </c>
      <c r="H57" s="285">
        <v>469312.57142857165</v>
      </c>
      <c r="I57" s="285">
        <v>3666084.1428571423</v>
      </c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</row>
    <row r="58" spans="1:210" ht="17.5" x14ac:dyDescent="0.45">
      <c r="A58" s="269" t="s">
        <v>92</v>
      </c>
      <c r="B58" s="281">
        <v>5498.1428571428569</v>
      </c>
      <c r="C58" s="281">
        <v>3303.7142857142858</v>
      </c>
      <c r="D58" s="281">
        <v>3332.2857142857142</v>
      </c>
      <c r="E58" s="281">
        <v>124.42857142857143</v>
      </c>
      <c r="F58" s="281">
        <v>13219.571428571428</v>
      </c>
      <c r="G58" s="281">
        <v>6143</v>
      </c>
      <c r="H58" s="281">
        <v>2980.2857142857142</v>
      </c>
      <c r="I58" s="281">
        <v>36972.571428571428</v>
      </c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</row>
    <row r="59" spans="1:210" ht="17.5" x14ac:dyDescent="0.45">
      <c r="A59" s="272" t="s">
        <v>93</v>
      </c>
      <c r="B59" s="281">
        <v>43985.142857142848</v>
      </c>
      <c r="C59" s="281">
        <v>26429.714285714286</v>
      </c>
      <c r="D59" s="281">
        <v>26658.285714285714</v>
      </c>
      <c r="E59" s="281">
        <v>995.42857142857144</v>
      </c>
      <c r="F59" s="281">
        <v>105756.57142857141</v>
      </c>
      <c r="G59" s="281">
        <v>49144</v>
      </c>
      <c r="H59" s="281">
        <v>23842.285714285714</v>
      </c>
      <c r="I59" s="281">
        <v>295780.57142857142</v>
      </c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</row>
    <row r="60" spans="1:210" ht="20.149999999999999" customHeight="1" x14ac:dyDescent="0.35">
      <c r="A60" s="8"/>
      <c r="B60" s="5"/>
      <c r="C60" s="5"/>
      <c r="D60" s="5"/>
      <c r="E60" s="5"/>
      <c r="F60" s="5"/>
      <c r="G60" s="56" t="s">
        <v>102</v>
      </c>
      <c r="H60" s="56" t="s">
        <v>102</v>
      </c>
      <c r="I60" s="56" t="s">
        <v>102</v>
      </c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</row>
    <row r="61" spans="1:210" ht="20.149999999999999" customHeight="1" x14ac:dyDescent="0.35">
      <c r="A61" s="8"/>
      <c r="B61" s="5"/>
      <c r="C61" s="5"/>
      <c r="D61" s="5"/>
      <c r="E61" s="5"/>
      <c r="F61" s="5"/>
      <c r="G61" s="56" t="s">
        <v>102</v>
      </c>
      <c r="H61" s="56" t="s">
        <v>102</v>
      </c>
      <c r="I61" s="56" t="s">
        <v>102</v>
      </c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10" ht="20.149999999999999" customHeight="1" x14ac:dyDescent="0.35">
      <c r="A62" s="8"/>
      <c r="B62" s="5"/>
      <c r="C62" s="5"/>
      <c r="D62" s="5"/>
      <c r="E62" s="5"/>
      <c r="F62" s="5"/>
      <c r="G62" s="56" t="s">
        <v>102</v>
      </c>
      <c r="H62" s="56" t="s">
        <v>102</v>
      </c>
      <c r="I62" s="56" t="s">
        <v>102</v>
      </c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10" ht="20.149999999999999" customHeight="1" x14ac:dyDescent="0.35">
      <c r="A63" s="8"/>
      <c r="B63" s="5"/>
      <c r="C63" s="5"/>
      <c r="D63" s="5"/>
      <c r="E63" s="5"/>
      <c r="F63" s="5"/>
      <c r="G63" s="56" t="s">
        <v>102</v>
      </c>
      <c r="H63" s="56" t="s">
        <v>102</v>
      </c>
      <c r="I63" s="56" t="s">
        <v>102</v>
      </c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10" ht="20.149999999999999" customHeight="1" x14ac:dyDescent="0.35">
      <c r="A64" s="8"/>
      <c r="B64" s="5"/>
      <c r="C64" s="5"/>
      <c r="D64" s="5"/>
      <c r="E64" s="5"/>
      <c r="F64" s="5"/>
      <c r="G64" s="56" t="s">
        <v>102</v>
      </c>
      <c r="H64" s="56"/>
      <c r="I64" s="56" t="s">
        <v>102</v>
      </c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ht="20.149999999999999" customHeight="1" x14ac:dyDescent="0.35">
      <c r="A65" s="8"/>
      <c r="B65" s="5"/>
      <c r="C65" s="5"/>
      <c r="D65" s="5"/>
      <c r="E65" s="5"/>
      <c r="F65" s="5"/>
      <c r="G65" s="56" t="s">
        <v>102</v>
      </c>
      <c r="H65" s="56"/>
      <c r="I65" s="56" t="s">
        <v>102</v>
      </c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ht="20.149999999999999" customHeight="1" x14ac:dyDescent="0.35">
      <c r="A66" s="8"/>
      <c r="B66" s="5"/>
      <c r="C66" s="5"/>
      <c r="D66" s="5"/>
      <c r="E66" s="5"/>
      <c r="F66" s="5"/>
      <c r="G66" s="57"/>
      <c r="H66" s="57"/>
      <c r="I66" s="57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ht="20.149999999999999" customHeight="1" x14ac:dyDescent="0.35">
      <c r="A67" s="8"/>
      <c r="B67" s="5"/>
      <c r="C67" s="5"/>
      <c r="D67" s="5"/>
      <c r="E67" s="5"/>
      <c r="F67" s="5"/>
      <c r="G67" s="57"/>
      <c r="H67" s="57"/>
      <c r="I67" s="57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ht="20.149999999999999" customHeight="1" x14ac:dyDescent="0.35">
      <c r="A68" s="8"/>
      <c r="B68" s="5"/>
      <c r="C68" s="5"/>
      <c r="D68" s="66"/>
      <c r="E68" s="5"/>
      <c r="F68" s="5"/>
      <c r="G68" s="66"/>
      <c r="H68" s="57"/>
      <c r="I68" s="57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ht="20.149999999999999" customHeight="1" x14ac:dyDescent="0.35">
      <c r="A69" s="8"/>
      <c r="B69" s="5"/>
      <c r="C69" s="5"/>
      <c r="D69" s="5"/>
      <c r="E69" s="5"/>
      <c r="F69" s="5"/>
      <c r="G69" s="57"/>
      <c r="H69" s="57"/>
      <c r="I69" s="57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ht="20.149999999999999" customHeight="1" x14ac:dyDescent="0.35">
      <c r="A70" s="8"/>
      <c r="B70" s="5"/>
      <c r="C70" s="5"/>
      <c r="D70" s="5"/>
      <c r="E70" s="5"/>
      <c r="F70" s="5"/>
      <c r="G70" s="57"/>
      <c r="H70" s="57"/>
      <c r="I70" s="57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ht="20.149999999999999" customHeight="1" x14ac:dyDescent="0.35">
      <c r="A71" s="8"/>
      <c r="B71" s="5"/>
      <c r="C71" s="5"/>
      <c r="D71" s="5"/>
      <c r="E71" s="5"/>
      <c r="F71" s="5"/>
      <c r="G71" s="57"/>
      <c r="H71" s="57"/>
      <c r="I71" s="57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ht="20.149999999999999" customHeight="1" x14ac:dyDescent="0.35">
      <c r="A72" s="8"/>
      <c r="B72" s="5"/>
      <c r="C72" s="5"/>
      <c r="D72" s="5"/>
      <c r="E72" s="5"/>
      <c r="F72" s="5"/>
      <c r="G72" s="57"/>
      <c r="H72" s="57"/>
      <c r="I72" s="57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ht="20.149999999999999" customHeight="1" x14ac:dyDescent="0.35"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ht="20.149999999999999" customHeight="1" x14ac:dyDescent="0.35"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ht="20.149999999999999" customHeight="1" x14ac:dyDescent="0.35"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ht="20.149999999999999" customHeight="1" x14ac:dyDescent="0.35"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ht="20.149999999999999" customHeight="1" x14ac:dyDescent="0.35"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ht="20.149999999999999" customHeight="1" x14ac:dyDescent="0.35"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ht="20.149999999999999" customHeight="1" x14ac:dyDescent="0.35"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ht="20.149999999999999" customHeight="1" x14ac:dyDescent="0.35"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7:21" ht="20.149999999999999" customHeight="1" x14ac:dyDescent="0.35"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7:21" ht="20.149999999999999" customHeight="1" x14ac:dyDescent="0.35"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7:21" ht="20.149999999999999" customHeight="1" x14ac:dyDescent="0.35"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7:21" ht="20.149999999999999" customHeight="1" x14ac:dyDescent="0.35"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7:21" ht="20.149999999999999" customHeight="1" x14ac:dyDescent="0.35"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7:21" ht="20.149999999999999" customHeight="1" x14ac:dyDescent="0.35"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7:21" ht="20.149999999999999" customHeight="1" x14ac:dyDescent="0.35"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7:21" ht="20.149999999999999" customHeight="1" x14ac:dyDescent="0.35"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7:21" ht="20.149999999999999" customHeight="1" x14ac:dyDescent="0.35"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7:21" ht="20.149999999999999" customHeight="1" x14ac:dyDescent="0.35"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7:21" ht="20.149999999999999" customHeight="1" x14ac:dyDescent="0.35"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7:21" ht="20.149999999999999" customHeight="1" x14ac:dyDescent="0.35"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7:21" ht="20.149999999999999" customHeight="1" x14ac:dyDescent="0.35"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7:21" ht="20.149999999999999" customHeight="1" x14ac:dyDescent="0.35"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7:21" ht="20.149999999999999" customHeight="1" x14ac:dyDescent="0.35"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7:21" ht="20.149999999999999" customHeight="1" x14ac:dyDescent="0.35"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7:21" ht="20.149999999999999" customHeight="1" x14ac:dyDescent="0.35"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7:21" ht="20.149999999999999" customHeight="1" x14ac:dyDescent="0.35"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7:21" ht="20.149999999999999" customHeight="1" x14ac:dyDescent="0.35"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7:21" ht="20.149999999999999" customHeight="1" x14ac:dyDescent="0.35"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7:21" ht="20.149999999999999" customHeight="1" x14ac:dyDescent="0.35"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7:21" ht="20.149999999999999" customHeight="1" x14ac:dyDescent="0.35"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7:21" ht="20.149999999999999" customHeight="1" x14ac:dyDescent="0.35"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7:21" ht="20.149999999999999" customHeight="1" x14ac:dyDescent="0.35"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7:21" ht="20.149999999999999" customHeight="1" x14ac:dyDescent="0.35"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7:21" ht="20.149999999999999" customHeight="1" x14ac:dyDescent="0.35"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7:21" ht="20.149999999999999" customHeight="1" x14ac:dyDescent="0.35"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7:21" ht="20.149999999999999" customHeight="1" x14ac:dyDescent="0.35"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7:21" ht="20.149999999999999" customHeight="1" x14ac:dyDescent="0.35"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7:21" ht="20.149999999999999" customHeight="1" x14ac:dyDescent="0.35"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7:21" ht="20.149999999999999" customHeight="1" x14ac:dyDescent="0.35"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7:21" ht="20.149999999999999" customHeight="1" x14ac:dyDescent="0.35"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7:21" ht="20.149999999999999" customHeight="1" x14ac:dyDescent="0.35"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7:21" ht="20.149999999999999" customHeight="1" x14ac:dyDescent="0.35"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7:21" ht="20.149999999999999" customHeight="1" x14ac:dyDescent="0.35"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7:21" ht="20.149999999999999" customHeight="1" x14ac:dyDescent="0.35"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7:21" ht="20.149999999999999" customHeight="1" x14ac:dyDescent="0.35"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7:21" ht="20.149999999999999" customHeight="1" x14ac:dyDescent="0.35"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7:21" ht="20.149999999999999" customHeight="1" x14ac:dyDescent="0.35"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7:21" ht="20.149999999999999" customHeight="1" x14ac:dyDescent="0.35"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7:21" ht="20.149999999999999" customHeight="1" x14ac:dyDescent="0.35"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7:21" ht="20.149999999999999" customHeight="1" x14ac:dyDescent="0.35"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7:21" ht="20.149999999999999" customHeight="1" x14ac:dyDescent="0.35"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7:21" ht="20.149999999999999" customHeight="1" x14ac:dyDescent="0.35"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7:21" ht="20.149999999999999" customHeight="1" x14ac:dyDescent="0.35"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7:21" ht="20.149999999999999" customHeight="1" x14ac:dyDescent="0.35"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7:21" ht="20.149999999999999" customHeight="1" x14ac:dyDescent="0.35"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7:21" ht="20.149999999999999" customHeight="1" x14ac:dyDescent="0.35"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7:21" ht="20.149999999999999" customHeight="1" x14ac:dyDescent="0.35"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7:21" ht="20.149999999999999" customHeight="1" x14ac:dyDescent="0.35"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7:21" ht="20.149999999999999" customHeight="1" x14ac:dyDescent="0.35"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7:21" ht="20.149999999999999" customHeight="1" x14ac:dyDescent="0.35"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7:21" ht="20.149999999999999" customHeight="1" x14ac:dyDescent="0.35"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7:21" ht="20.149999999999999" customHeight="1" x14ac:dyDescent="0.35"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7:21" ht="20.149999999999999" customHeight="1" x14ac:dyDescent="0.35"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7:21" ht="20.149999999999999" customHeight="1" x14ac:dyDescent="0.35"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7:21" ht="20.149999999999999" customHeight="1" x14ac:dyDescent="0.35"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7:21" ht="20.149999999999999" customHeight="1" x14ac:dyDescent="0.35"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7:21" ht="20.149999999999999" customHeight="1" x14ac:dyDescent="0.35"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7:21" ht="20.149999999999999" customHeight="1" x14ac:dyDescent="0.35"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7:21" ht="20.149999999999999" customHeight="1" x14ac:dyDescent="0.35"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7:21" ht="20.149999999999999" customHeight="1" x14ac:dyDescent="0.35"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7:21" ht="20.149999999999999" customHeight="1" x14ac:dyDescent="0.35"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7:21" ht="20.149999999999999" customHeight="1" x14ac:dyDescent="0.35"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7:21" ht="20.149999999999999" customHeight="1" x14ac:dyDescent="0.35"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7:21" ht="20.149999999999999" customHeight="1" x14ac:dyDescent="0.35"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7:21" ht="20.149999999999999" customHeight="1" x14ac:dyDescent="0.35"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7:21" ht="20.149999999999999" customHeight="1" x14ac:dyDescent="0.35"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7:21" ht="20.149999999999999" customHeight="1" x14ac:dyDescent="0.35"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7:21" ht="20.149999999999999" customHeight="1" x14ac:dyDescent="0.35"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7:21" ht="20.149999999999999" customHeight="1" x14ac:dyDescent="0.35"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7:21" ht="20.149999999999999" customHeight="1" x14ac:dyDescent="0.35"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7:21" ht="20.149999999999999" customHeight="1" x14ac:dyDescent="0.35"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7:21" ht="20.149999999999999" customHeight="1" x14ac:dyDescent="0.35"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7:21" ht="20.149999999999999" customHeight="1" x14ac:dyDescent="0.35"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7:21" ht="20.149999999999999" customHeight="1" x14ac:dyDescent="0.35"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7:21" ht="20.149999999999999" customHeight="1" x14ac:dyDescent="0.35"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7:21" ht="20.149999999999999" customHeight="1" x14ac:dyDescent="0.35"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7:21" ht="20.149999999999999" customHeight="1" x14ac:dyDescent="0.35"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7:21" ht="20.149999999999999" customHeight="1" x14ac:dyDescent="0.35"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7:21" ht="20.149999999999999" customHeight="1" x14ac:dyDescent="0.35"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7:21" ht="20.149999999999999" customHeight="1" x14ac:dyDescent="0.35"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7:21" ht="20.149999999999999" customHeight="1" x14ac:dyDescent="0.35"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7:21" ht="20.149999999999999" customHeight="1" x14ac:dyDescent="0.35"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7:21" ht="20.149999999999999" customHeight="1" x14ac:dyDescent="0.35"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7:21" ht="20.149999999999999" customHeight="1" x14ac:dyDescent="0.35"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7:21" ht="20.149999999999999" customHeight="1" x14ac:dyDescent="0.35"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7:21" ht="20.149999999999999" customHeight="1" x14ac:dyDescent="0.35"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7:21" ht="20.149999999999999" customHeight="1" x14ac:dyDescent="0.35"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7:21" ht="20.149999999999999" customHeight="1" x14ac:dyDescent="0.35"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7:21" ht="20.149999999999999" customHeight="1" x14ac:dyDescent="0.35"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7:21" ht="20.149999999999999" customHeight="1" x14ac:dyDescent="0.35"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7:21" ht="20.149999999999999" customHeight="1" x14ac:dyDescent="0.35"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7:21" ht="20.149999999999999" customHeight="1" x14ac:dyDescent="0.35"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7:21" ht="20.149999999999999" customHeight="1" x14ac:dyDescent="0.35"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7:21" ht="20.149999999999999" customHeight="1" x14ac:dyDescent="0.35"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7:21" ht="20.149999999999999" customHeight="1" x14ac:dyDescent="0.35"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7:21" ht="20.149999999999999" customHeight="1" x14ac:dyDescent="0.35"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7:21" ht="20.149999999999999" customHeight="1" x14ac:dyDescent="0.35"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7:21" ht="20.149999999999999" customHeight="1" x14ac:dyDescent="0.35"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7:21" ht="20.149999999999999" customHeight="1" x14ac:dyDescent="0.35"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7:21" ht="20.149999999999999" customHeight="1" x14ac:dyDescent="0.35"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7:21" ht="20.149999999999999" customHeight="1" x14ac:dyDescent="0.35"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7:21" ht="20.149999999999999" customHeight="1" x14ac:dyDescent="0.35"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7:21" ht="20.149999999999999" customHeight="1" x14ac:dyDescent="0.35"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7:21" ht="20.149999999999999" customHeight="1" x14ac:dyDescent="0.35"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7:21" ht="20.149999999999999" customHeight="1" x14ac:dyDescent="0.35"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7:21" ht="20.149999999999999" customHeight="1" x14ac:dyDescent="0.35"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7:21" ht="20.149999999999999" customHeight="1" x14ac:dyDescent="0.35"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7:21" ht="20.149999999999999" customHeight="1" x14ac:dyDescent="0.35"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7:21" ht="20.149999999999999" customHeight="1" x14ac:dyDescent="0.35"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7:21" ht="20.149999999999999" customHeight="1" x14ac:dyDescent="0.35"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7:21" ht="20.149999999999999" customHeight="1" x14ac:dyDescent="0.35"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7:21" ht="20.149999999999999" customHeight="1" x14ac:dyDescent="0.35"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7:21" ht="20.149999999999999" customHeight="1" x14ac:dyDescent="0.35"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7:21" ht="20.149999999999999" customHeight="1" x14ac:dyDescent="0.35"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7:21" ht="20.149999999999999" customHeight="1" x14ac:dyDescent="0.35"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7:21" ht="20.149999999999999" customHeight="1" x14ac:dyDescent="0.35"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7:21" ht="20.149999999999999" customHeight="1" x14ac:dyDescent="0.35"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7:21" ht="20.149999999999999" customHeight="1" x14ac:dyDescent="0.35"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7:21" ht="20.149999999999999" customHeight="1" x14ac:dyDescent="0.35"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7:21" ht="20.149999999999999" customHeight="1" x14ac:dyDescent="0.35"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7:21" ht="20.149999999999999" customHeight="1" x14ac:dyDescent="0.35"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7:21" ht="20.149999999999999" customHeight="1" x14ac:dyDescent="0.35"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7:21" ht="20.149999999999999" customHeight="1" x14ac:dyDescent="0.35"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7:21" ht="20.149999999999999" customHeight="1" x14ac:dyDescent="0.35"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7:21" ht="20.149999999999999" customHeight="1" x14ac:dyDescent="0.35"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7:21" ht="20.149999999999999" customHeight="1" x14ac:dyDescent="0.35"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7:21" ht="20.149999999999999" customHeight="1" x14ac:dyDescent="0.35"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7:21" ht="20.149999999999999" customHeight="1" x14ac:dyDescent="0.35"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7:21" ht="20.149999999999999" customHeight="1" x14ac:dyDescent="0.35"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7:21" ht="20.149999999999999" customHeight="1" x14ac:dyDescent="0.35"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7:21" ht="20.149999999999999" customHeight="1" x14ac:dyDescent="0.35"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7:21" ht="20.149999999999999" customHeight="1" x14ac:dyDescent="0.35"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7:21" ht="20.149999999999999" customHeight="1" x14ac:dyDescent="0.35"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7:21" ht="20.149999999999999" customHeight="1" x14ac:dyDescent="0.35"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7:21" ht="20.149999999999999" customHeight="1" x14ac:dyDescent="0.35"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7:21" ht="20.149999999999999" customHeight="1" x14ac:dyDescent="0.35"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7:21" ht="20.149999999999999" customHeight="1" x14ac:dyDescent="0.35"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7:21" ht="20.149999999999999" customHeight="1" x14ac:dyDescent="0.35"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7:21" ht="20.149999999999999" customHeight="1" x14ac:dyDescent="0.35"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7:21" ht="20.149999999999999" customHeight="1" x14ac:dyDescent="0.35"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7:21" ht="20.149999999999999" customHeight="1" x14ac:dyDescent="0.35"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7:21" ht="20.149999999999999" customHeight="1" x14ac:dyDescent="0.35"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7:21" ht="20.149999999999999" customHeight="1" x14ac:dyDescent="0.35"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7:21" ht="20.149999999999999" customHeight="1" x14ac:dyDescent="0.35"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7:21" ht="20.149999999999999" customHeight="1" x14ac:dyDescent="0.35"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7:21" ht="20.149999999999999" customHeight="1" x14ac:dyDescent="0.35"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7:21" ht="20.149999999999999" customHeight="1" x14ac:dyDescent="0.35"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7:21" ht="20.149999999999999" customHeight="1" x14ac:dyDescent="0.35"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7:21" ht="20.149999999999999" customHeight="1" x14ac:dyDescent="0.35"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7:21" ht="20.149999999999999" customHeight="1" x14ac:dyDescent="0.35"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7:21" ht="20.149999999999999" customHeight="1" x14ac:dyDescent="0.35"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7:21" ht="20.149999999999999" customHeight="1" x14ac:dyDescent="0.35"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7:21" ht="20.149999999999999" customHeight="1" x14ac:dyDescent="0.35"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7:21" ht="20.149999999999999" customHeight="1" x14ac:dyDescent="0.35"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7:21" ht="20.149999999999999" customHeight="1" x14ac:dyDescent="0.35"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7:21" ht="20.149999999999999" customHeight="1" x14ac:dyDescent="0.35"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7:21" ht="20.149999999999999" customHeight="1" x14ac:dyDescent="0.35"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7:21" ht="20.149999999999999" customHeight="1" x14ac:dyDescent="0.35"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7:21" ht="20.149999999999999" customHeight="1" x14ac:dyDescent="0.35"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7:21" ht="20.149999999999999" customHeight="1" x14ac:dyDescent="0.35"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7:21" ht="20.149999999999999" customHeight="1" x14ac:dyDescent="0.35"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7:21" ht="20.149999999999999" customHeight="1" x14ac:dyDescent="0.35"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7:21" ht="20.149999999999999" customHeight="1" x14ac:dyDescent="0.35"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7:21" ht="20.149999999999999" customHeight="1" x14ac:dyDescent="0.35"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7:21" ht="20.149999999999999" customHeight="1" x14ac:dyDescent="0.35"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7:21" ht="20.149999999999999" customHeight="1" x14ac:dyDescent="0.35"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7:21" ht="20.149999999999999" customHeight="1" x14ac:dyDescent="0.35"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7:21" ht="20.149999999999999" customHeight="1" x14ac:dyDescent="0.35"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7:21" ht="20.149999999999999" customHeight="1" x14ac:dyDescent="0.35"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7:21" ht="20.149999999999999" customHeight="1" x14ac:dyDescent="0.35"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7:21" ht="20.149999999999999" customHeight="1" x14ac:dyDescent="0.35"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7:21" ht="20.149999999999999" customHeight="1" x14ac:dyDescent="0.35"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7:21" ht="20.149999999999999" customHeight="1" x14ac:dyDescent="0.35"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7:21" ht="20.149999999999999" customHeight="1" x14ac:dyDescent="0.35"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7:21" ht="20.149999999999999" customHeight="1" x14ac:dyDescent="0.35"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7:21" ht="20.149999999999999" customHeight="1" x14ac:dyDescent="0.35"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7:21" ht="20.149999999999999" customHeight="1" x14ac:dyDescent="0.35"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</sheetData>
  <printOptions horizontalCentered="1"/>
  <pageMargins left="0.25" right="0.25" top="0.5" bottom="0.5" header="0.3" footer="0.3"/>
  <pageSetup scale="47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1">
              <controlPr defaultSize="0" print="0" autoFill="0" autoPict="0" macro="[0]!pdfPage4">
                <anchor moveWithCells="1" sizeWithCells="1">
                  <from>
                    <xdr:col>0</xdr:col>
                    <xdr:colOff>50800</xdr:colOff>
                    <xdr:row>0</xdr:row>
                    <xdr:rowOff>12700</xdr:rowOff>
                  </from>
                  <to>
                    <xdr:col>0</xdr:col>
                    <xdr:colOff>57150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E2B24-A3B1-45E7-B19C-4C4DC4FB4969}">
  <sheetPr transitionEvaluation="1" transitionEntry="1" codeName="Sheet6">
    <pageSetUpPr fitToPage="1"/>
  </sheetPr>
  <dimension ref="A1:IC120"/>
  <sheetViews>
    <sheetView defaultGridColor="0" colorId="22" zoomScaleNormal="100" zoomScaleSheetLayoutView="125" workbookViewId="0">
      <selection activeCell="B54" sqref="B54"/>
    </sheetView>
  </sheetViews>
  <sheetFormatPr defaultColWidth="9.58203125" defaultRowHeight="15.5" x14ac:dyDescent="0.35"/>
  <cols>
    <col min="1" max="1" width="40.58203125" style="58" customWidth="1"/>
    <col min="2" max="9" width="18.83203125" customWidth="1"/>
    <col min="10" max="10" width="3.58203125" customWidth="1"/>
    <col min="11" max="11" width="17.33203125" customWidth="1"/>
  </cols>
  <sheetData>
    <row r="1" spans="1:237" s="2" customFormat="1" ht="21" x14ac:dyDescent="0.55000000000000004">
      <c r="A1" s="286" t="s">
        <v>0</v>
      </c>
      <c r="B1" s="251"/>
      <c r="C1" s="251"/>
      <c r="D1" s="273"/>
      <c r="E1" s="274"/>
      <c r="F1" s="275"/>
      <c r="G1" s="275"/>
      <c r="H1" s="275"/>
      <c r="I1" s="276"/>
      <c r="J1" s="1"/>
      <c r="K1" s="1"/>
      <c r="L1" s="1"/>
    </row>
    <row r="2" spans="1:237" s="2" customFormat="1" ht="21" x14ac:dyDescent="0.55000000000000004">
      <c r="A2" s="265" t="s">
        <v>1</v>
      </c>
      <c r="B2" s="274"/>
      <c r="C2" s="277"/>
      <c r="D2" s="277"/>
      <c r="E2" s="277"/>
      <c r="F2" s="277"/>
      <c r="G2" s="277"/>
      <c r="H2" s="277"/>
      <c r="I2" s="278"/>
      <c r="J2" s="1"/>
      <c r="K2" s="1"/>
      <c r="L2" s="1"/>
    </row>
    <row r="3" spans="1:237" s="2" customFormat="1" ht="21" x14ac:dyDescent="0.55000000000000004">
      <c r="A3" s="238" t="s">
        <v>2</v>
      </c>
      <c r="B3" s="274"/>
      <c r="C3" s="277"/>
      <c r="D3" s="277"/>
      <c r="E3" s="277"/>
      <c r="F3" s="277"/>
      <c r="G3" s="277"/>
      <c r="H3" s="277"/>
      <c r="I3" s="279"/>
      <c r="J3" s="1"/>
      <c r="K3" s="1"/>
      <c r="L3" s="1"/>
    </row>
    <row r="4" spans="1:237" s="2" customFormat="1" ht="84" x14ac:dyDescent="0.55000000000000004">
      <c r="A4" s="238" t="s">
        <v>3</v>
      </c>
      <c r="B4" s="274"/>
      <c r="C4" s="277"/>
      <c r="D4" s="277"/>
      <c r="E4" s="277"/>
      <c r="F4" s="277"/>
      <c r="G4" s="277"/>
      <c r="H4" s="277"/>
      <c r="I4" s="273"/>
      <c r="J4" s="1"/>
      <c r="K4" s="1"/>
      <c r="L4" s="1"/>
    </row>
    <row r="5" spans="1:237" s="2" customFormat="1" ht="63" x14ac:dyDescent="0.55000000000000004">
      <c r="A5" s="238" t="s">
        <v>4</v>
      </c>
      <c r="B5" s="273"/>
      <c r="C5" s="273"/>
      <c r="D5" s="273"/>
      <c r="E5" s="273"/>
      <c r="F5" s="273"/>
      <c r="G5" s="273"/>
      <c r="H5" s="273"/>
      <c r="I5" s="273"/>
      <c r="J5" s="1"/>
      <c r="K5" s="1"/>
      <c r="L5" s="1"/>
    </row>
    <row r="6" spans="1:237" s="69" customFormat="1" ht="87.5" x14ac:dyDescent="0.35">
      <c r="A6" s="355" t="s">
        <v>34</v>
      </c>
      <c r="B6" s="356" t="s">
        <v>112</v>
      </c>
      <c r="C6" s="356" t="s">
        <v>113</v>
      </c>
      <c r="D6" s="356" t="s">
        <v>114</v>
      </c>
      <c r="E6" s="356" t="s">
        <v>115</v>
      </c>
      <c r="F6" s="356" t="s">
        <v>116</v>
      </c>
      <c r="G6" s="356" t="s">
        <v>117</v>
      </c>
      <c r="H6" s="356" t="s">
        <v>118</v>
      </c>
      <c r="I6" s="356" t="s">
        <v>119</v>
      </c>
      <c r="J6" s="68"/>
      <c r="K6" s="68"/>
      <c r="L6" s="68"/>
    </row>
    <row r="7" spans="1:237" ht="17.5" x14ac:dyDescent="0.45">
      <c r="A7" s="358" t="s">
        <v>42</v>
      </c>
      <c r="B7" s="281">
        <v>4311</v>
      </c>
      <c r="C7" s="281">
        <v>2791.977089</v>
      </c>
      <c r="D7" s="281">
        <v>649.56521739130403</v>
      </c>
      <c r="E7" s="281">
        <v>4868</v>
      </c>
      <c r="F7" s="281">
        <v>62885</v>
      </c>
      <c r="G7" s="281">
        <v>13687</v>
      </c>
      <c r="H7" s="281">
        <v>55964</v>
      </c>
      <c r="I7" s="281">
        <v>4889.3335778000001</v>
      </c>
      <c r="J7" s="63" t="s">
        <v>102</v>
      </c>
      <c r="K7" s="63" t="s">
        <v>102</v>
      </c>
      <c r="L7" s="63" t="s">
        <v>102</v>
      </c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  <c r="IA7" s="49"/>
      <c r="IB7" s="49"/>
      <c r="IC7" s="49"/>
    </row>
    <row r="8" spans="1:237" ht="17.5" x14ac:dyDescent="0.45">
      <c r="A8" s="358" t="s">
        <v>43</v>
      </c>
      <c r="B8" s="281">
        <v>5420</v>
      </c>
      <c r="C8" s="281">
        <v>2517.4651260000001</v>
      </c>
      <c r="D8" s="281">
        <v>670.04347826086996</v>
      </c>
      <c r="E8" s="281">
        <v>2013</v>
      </c>
      <c r="F8" s="281">
        <v>45305</v>
      </c>
      <c r="G8" s="281">
        <v>2242</v>
      </c>
      <c r="H8" s="281">
        <v>36832</v>
      </c>
      <c r="I8" s="281">
        <v>2503.3334585000002</v>
      </c>
      <c r="J8" s="63" t="s">
        <v>102</v>
      </c>
      <c r="K8" s="63" t="s">
        <v>102</v>
      </c>
      <c r="L8" s="63" t="s">
        <v>102</v>
      </c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  <c r="IA8" s="49"/>
      <c r="IB8" s="49"/>
      <c r="IC8" s="49"/>
    </row>
    <row r="9" spans="1:237" ht="17.5" x14ac:dyDescent="0.45">
      <c r="A9" s="358" t="s">
        <v>44</v>
      </c>
      <c r="B9" s="281">
        <v>3717</v>
      </c>
      <c r="C9" s="281">
        <v>2071.9983239999997</v>
      </c>
      <c r="D9" s="281">
        <v>600</v>
      </c>
      <c r="E9" s="281">
        <v>2610</v>
      </c>
      <c r="F9" s="281">
        <v>35311</v>
      </c>
      <c r="G9" s="281">
        <v>10062</v>
      </c>
      <c r="H9" s="281">
        <v>56820</v>
      </c>
      <c r="I9" s="281">
        <v>2500.000125</v>
      </c>
      <c r="J9" s="63" t="s">
        <v>102</v>
      </c>
      <c r="K9" s="63" t="s">
        <v>102</v>
      </c>
      <c r="L9" s="63" t="s">
        <v>102</v>
      </c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</row>
    <row r="10" spans="1:237" ht="17.5" x14ac:dyDescent="0.45">
      <c r="A10" s="358" t="s">
        <v>45</v>
      </c>
      <c r="B10" s="281">
        <v>4931</v>
      </c>
      <c r="C10" s="281">
        <v>4041.0814069999997</v>
      </c>
      <c r="D10" s="281">
        <v>682.17391304347802</v>
      </c>
      <c r="E10" s="281">
        <v>3109</v>
      </c>
      <c r="F10" s="281">
        <v>65979</v>
      </c>
      <c r="G10" s="281">
        <v>22456</v>
      </c>
      <c r="H10" s="281">
        <v>63588</v>
      </c>
      <c r="I10" s="281">
        <v>3348.0001674</v>
      </c>
      <c r="J10" s="63" t="s">
        <v>102</v>
      </c>
      <c r="K10" s="63" t="s">
        <v>102</v>
      </c>
      <c r="L10" s="63" t="s">
        <v>102</v>
      </c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</row>
    <row r="11" spans="1:237" ht="17.5" x14ac:dyDescent="0.45">
      <c r="A11" s="358" t="s">
        <v>46</v>
      </c>
      <c r="B11" s="281">
        <v>5065</v>
      </c>
      <c r="C11" s="281">
        <v>2614.1754979999996</v>
      </c>
      <c r="D11" s="281">
        <v>599.08695652173947</v>
      </c>
      <c r="E11" s="281">
        <v>2713</v>
      </c>
      <c r="F11" s="281">
        <v>58298</v>
      </c>
      <c r="G11" s="281">
        <v>16975</v>
      </c>
      <c r="H11" s="281">
        <v>37806</v>
      </c>
      <c r="I11" s="281">
        <v>2598.6667966</v>
      </c>
      <c r="J11" s="63" t="s">
        <v>102</v>
      </c>
      <c r="K11" s="63" t="s">
        <v>102</v>
      </c>
      <c r="L11" s="63" t="s">
        <v>102</v>
      </c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</row>
    <row r="12" spans="1:237" ht="17.5" x14ac:dyDescent="0.45">
      <c r="A12" s="358" t="s">
        <v>47</v>
      </c>
      <c r="B12" s="281">
        <v>4717</v>
      </c>
      <c r="C12" s="281">
        <v>2096.8177999999998</v>
      </c>
      <c r="D12" s="281">
        <v>567.78260869565247</v>
      </c>
      <c r="E12" s="281">
        <v>3535</v>
      </c>
      <c r="F12" s="281">
        <v>38741</v>
      </c>
      <c r="G12" s="281">
        <v>13464</v>
      </c>
      <c r="H12" s="281">
        <v>23382</v>
      </c>
      <c r="I12" s="281">
        <v>2625.3334646000003</v>
      </c>
      <c r="J12" s="63" t="s">
        <v>102</v>
      </c>
      <c r="K12" s="63" t="s">
        <v>102</v>
      </c>
      <c r="L12" s="63" t="s">
        <v>102</v>
      </c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</row>
    <row r="13" spans="1:237" ht="17.5" x14ac:dyDescent="0.45">
      <c r="A13" s="358" t="s">
        <v>48</v>
      </c>
      <c r="B13" s="281">
        <v>3903</v>
      </c>
      <c r="C13" s="281">
        <v>3751.164252</v>
      </c>
      <c r="D13" s="281">
        <v>633.13043478260897</v>
      </c>
      <c r="E13" s="281">
        <v>6633</v>
      </c>
      <c r="F13" s="281">
        <v>40912</v>
      </c>
      <c r="G13" s="281">
        <v>17651</v>
      </c>
      <c r="H13" s="281">
        <v>29071</v>
      </c>
      <c r="I13" s="281">
        <v>2374.0001186999998</v>
      </c>
      <c r="J13" s="63" t="s">
        <v>102</v>
      </c>
      <c r="K13" s="63" t="s">
        <v>102</v>
      </c>
      <c r="L13" s="63" t="s">
        <v>102</v>
      </c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</row>
    <row r="14" spans="1:237" ht="17.5" x14ac:dyDescent="0.45">
      <c r="A14" s="358" t="s">
        <v>49</v>
      </c>
      <c r="B14" s="281">
        <v>4738</v>
      </c>
      <c r="C14" s="281">
        <v>2261.3538090000002</v>
      </c>
      <c r="D14" s="281">
        <v>591.91304347826099</v>
      </c>
      <c r="E14" s="281">
        <v>3265</v>
      </c>
      <c r="F14" s="281">
        <v>39531</v>
      </c>
      <c r="G14" s="281">
        <v>17217</v>
      </c>
      <c r="H14" s="281">
        <v>31488</v>
      </c>
      <c r="I14" s="281">
        <v>2465.6667899499998</v>
      </c>
      <c r="J14" s="63" t="s">
        <v>102</v>
      </c>
      <c r="K14" s="63" t="s">
        <v>102</v>
      </c>
      <c r="L14" s="63" t="s">
        <v>102</v>
      </c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  <c r="IA14" s="49"/>
      <c r="IB14" s="49"/>
      <c r="IC14" s="49"/>
    </row>
    <row r="15" spans="1:237" ht="17.5" x14ac:dyDescent="0.45">
      <c r="A15" s="358" t="s">
        <v>50</v>
      </c>
      <c r="B15" s="281">
        <v>3179</v>
      </c>
      <c r="C15" s="281">
        <v>2535.2238889999999</v>
      </c>
      <c r="D15" s="281">
        <v>564.13043478260897</v>
      </c>
      <c r="E15" s="281">
        <v>4164</v>
      </c>
      <c r="F15" s="281">
        <v>32156</v>
      </c>
      <c r="G15" s="281">
        <v>13558</v>
      </c>
      <c r="H15" s="281">
        <v>25376</v>
      </c>
      <c r="I15" s="281">
        <v>2533.0001266500003</v>
      </c>
      <c r="J15" s="63" t="s">
        <v>102</v>
      </c>
      <c r="K15" s="63" t="s">
        <v>102</v>
      </c>
      <c r="L15" s="63" t="s">
        <v>102</v>
      </c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  <c r="IA15" s="49"/>
      <c r="IB15" s="49"/>
      <c r="IC15" s="49"/>
    </row>
    <row r="16" spans="1:237" ht="17.5" x14ac:dyDescent="0.45">
      <c r="A16" s="358" t="s">
        <v>51</v>
      </c>
      <c r="B16" s="281">
        <v>3539</v>
      </c>
      <c r="C16" s="281">
        <v>2189.4629129999994</v>
      </c>
      <c r="D16" s="281">
        <v>342.6521739130435</v>
      </c>
      <c r="E16" s="281">
        <v>2982</v>
      </c>
      <c r="F16" s="281">
        <v>21511</v>
      </c>
      <c r="G16" s="281">
        <v>10377</v>
      </c>
      <c r="H16" s="281">
        <v>7085</v>
      </c>
      <c r="I16" s="281">
        <v>1344.6667339000001</v>
      </c>
      <c r="J16" s="63" t="s">
        <v>102</v>
      </c>
      <c r="K16" s="63" t="s">
        <v>102</v>
      </c>
      <c r="L16" s="63" t="s">
        <v>102</v>
      </c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  <c r="IA16" s="49"/>
      <c r="IB16" s="49"/>
      <c r="IC16" s="49"/>
    </row>
    <row r="17" spans="1:237" ht="17.5" x14ac:dyDescent="0.45">
      <c r="A17" s="358" t="s">
        <v>52</v>
      </c>
      <c r="B17" s="281">
        <v>2305</v>
      </c>
      <c r="C17" s="281">
        <v>851.99270200000024</v>
      </c>
      <c r="D17" s="281">
        <v>146.21739130434787</v>
      </c>
      <c r="E17" s="281">
        <v>1760</v>
      </c>
      <c r="F17" s="281">
        <v>9031</v>
      </c>
      <c r="G17" s="281">
        <v>5700</v>
      </c>
      <c r="H17" s="281">
        <v>8172</v>
      </c>
      <c r="I17" s="281">
        <v>402.33335345</v>
      </c>
      <c r="J17" s="63" t="s">
        <v>102</v>
      </c>
      <c r="K17" s="63" t="s">
        <v>102</v>
      </c>
      <c r="L17" s="63" t="s">
        <v>102</v>
      </c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  <c r="IA17" s="49"/>
      <c r="IB17" s="49"/>
      <c r="IC17" s="49"/>
    </row>
    <row r="18" spans="1:237" ht="17.5" x14ac:dyDescent="0.45">
      <c r="A18" s="358" t="s">
        <v>53</v>
      </c>
      <c r="B18" s="281">
        <v>929</v>
      </c>
      <c r="C18" s="281">
        <v>430.2755709999999</v>
      </c>
      <c r="D18" s="281">
        <v>129.26086956521738</v>
      </c>
      <c r="E18" s="281">
        <v>1502</v>
      </c>
      <c r="F18" s="281">
        <v>4276</v>
      </c>
      <c r="G18" s="281">
        <v>4346</v>
      </c>
      <c r="H18" s="281">
        <v>8237</v>
      </c>
      <c r="I18" s="281">
        <v>810.66670720000002</v>
      </c>
      <c r="J18" s="63" t="s">
        <v>102</v>
      </c>
      <c r="K18" s="63" t="s">
        <v>102</v>
      </c>
      <c r="L18" s="63" t="s">
        <v>102</v>
      </c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  <c r="IA18" s="49"/>
      <c r="IB18" s="49"/>
      <c r="IC18" s="49"/>
    </row>
    <row r="19" spans="1:237" ht="17.5" x14ac:dyDescent="0.45">
      <c r="A19" s="358" t="s">
        <v>54</v>
      </c>
      <c r="B19" s="281">
        <v>2217</v>
      </c>
      <c r="C19" s="281">
        <v>1562.5571829999999</v>
      </c>
      <c r="D19" s="281">
        <v>353.60869565217399</v>
      </c>
      <c r="E19" s="281">
        <v>446</v>
      </c>
      <c r="F19" s="281">
        <v>4123</v>
      </c>
      <c r="G19" s="281">
        <v>11398</v>
      </c>
      <c r="H19" s="281">
        <v>8442</v>
      </c>
      <c r="I19" s="281">
        <v>918.33337925000001</v>
      </c>
      <c r="J19" s="63" t="s">
        <v>102</v>
      </c>
      <c r="K19" s="63" t="s">
        <v>102</v>
      </c>
      <c r="L19" s="63" t="s">
        <v>102</v>
      </c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  <c r="IA19" s="49"/>
      <c r="IB19" s="49"/>
      <c r="IC19" s="49"/>
    </row>
    <row r="20" spans="1:237" ht="17.5" x14ac:dyDescent="0.45">
      <c r="A20" s="358" t="s">
        <v>55</v>
      </c>
      <c r="B20" s="281">
        <v>2794</v>
      </c>
      <c r="C20" s="281">
        <v>1568.976013</v>
      </c>
      <c r="D20" s="281">
        <v>269.73913043478274</v>
      </c>
      <c r="E20" s="281">
        <v>2263</v>
      </c>
      <c r="F20" s="281">
        <v>4928</v>
      </c>
      <c r="G20" s="281">
        <v>4179</v>
      </c>
      <c r="H20" s="281">
        <v>7425</v>
      </c>
      <c r="I20" s="281">
        <v>1548.6667441</v>
      </c>
      <c r="J20" s="63" t="s">
        <v>102</v>
      </c>
      <c r="K20" s="63" t="s">
        <v>102</v>
      </c>
      <c r="L20" s="63" t="s">
        <v>102</v>
      </c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  <c r="IA20" s="49"/>
      <c r="IB20" s="49"/>
      <c r="IC20" s="49"/>
    </row>
    <row r="21" spans="1:237" ht="17.5" x14ac:dyDescent="0.45">
      <c r="A21" s="358" t="s">
        <v>56</v>
      </c>
      <c r="B21" s="281">
        <v>2660</v>
      </c>
      <c r="C21" s="281">
        <v>1581.8136730000001</v>
      </c>
      <c r="D21" s="281">
        <v>549.78260869565247</v>
      </c>
      <c r="E21" s="281">
        <v>90</v>
      </c>
      <c r="F21" s="281">
        <v>4644</v>
      </c>
      <c r="G21" s="281">
        <v>18073</v>
      </c>
      <c r="H21" s="281">
        <v>15000</v>
      </c>
      <c r="I21" s="281">
        <v>1250.0000625</v>
      </c>
      <c r="J21" s="63" t="s">
        <v>102</v>
      </c>
      <c r="K21" s="63" t="s">
        <v>102</v>
      </c>
      <c r="L21" s="63" t="s">
        <v>102</v>
      </c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  <c r="IB21" s="49"/>
      <c r="IC21" s="49"/>
    </row>
    <row r="22" spans="1:237" ht="17.5" x14ac:dyDescent="0.45">
      <c r="A22" s="358" t="s">
        <v>57</v>
      </c>
      <c r="B22" s="281">
        <v>4379</v>
      </c>
      <c r="C22" s="281">
        <v>1233.699126</v>
      </c>
      <c r="D22" s="281">
        <v>549.52173913043498</v>
      </c>
      <c r="E22" s="283">
        <v>0</v>
      </c>
      <c r="F22" s="281">
        <v>4020</v>
      </c>
      <c r="G22" s="281">
        <v>9319</v>
      </c>
      <c r="H22" s="281">
        <v>14971</v>
      </c>
      <c r="I22" s="281">
        <v>997.33338320000007</v>
      </c>
      <c r="J22" s="63" t="s">
        <v>102</v>
      </c>
      <c r="K22" s="63" t="s">
        <v>102</v>
      </c>
      <c r="L22" s="63" t="s">
        <v>102</v>
      </c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  <c r="IA22" s="49"/>
      <c r="IB22" s="49"/>
      <c r="IC22" s="49"/>
    </row>
    <row r="23" spans="1:237" ht="17.5" x14ac:dyDescent="0.45">
      <c r="A23" s="358" t="s">
        <v>58</v>
      </c>
      <c r="B23" s="281">
        <v>4821</v>
      </c>
      <c r="C23" s="281">
        <v>2561.3271309999991</v>
      </c>
      <c r="D23" s="281">
        <v>414.39130434782601</v>
      </c>
      <c r="E23" s="283">
        <v>0</v>
      </c>
      <c r="F23" s="281">
        <v>3874</v>
      </c>
      <c r="G23" s="281">
        <v>17629</v>
      </c>
      <c r="H23" s="281">
        <v>13234</v>
      </c>
      <c r="I23" s="281">
        <v>2887.00014435</v>
      </c>
      <c r="J23" s="63" t="s">
        <v>102</v>
      </c>
      <c r="K23" s="63" t="s">
        <v>102</v>
      </c>
      <c r="L23" s="63" t="s">
        <v>102</v>
      </c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  <c r="IA23" s="49"/>
      <c r="IB23" s="49"/>
      <c r="IC23" s="49"/>
    </row>
    <row r="24" spans="1:237" ht="17.5" x14ac:dyDescent="0.45">
      <c r="A24" s="358" t="s">
        <v>59</v>
      </c>
      <c r="B24" s="281">
        <v>3016</v>
      </c>
      <c r="C24" s="281">
        <v>1821.2360319999998</v>
      </c>
      <c r="D24" s="281">
        <v>618.91304347826099</v>
      </c>
      <c r="E24" s="283">
        <v>0</v>
      </c>
      <c r="F24" s="281">
        <v>3939</v>
      </c>
      <c r="G24" s="281">
        <v>4160</v>
      </c>
      <c r="H24" s="281">
        <v>7720</v>
      </c>
      <c r="I24" s="281">
        <v>972.00004860000001</v>
      </c>
      <c r="J24" s="63" t="s">
        <v>102</v>
      </c>
      <c r="K24" s="63" t="s">
        <v>102</v>
      </c>
      <c r="L24" s="63" t="s">
        <v>102</v>
      </c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  <c r="IA24" s="49"/>
      <c r="IB24" s="49"/>
      <c r="IC24" s="49"/>
    </row>
    <row r="25" spans="1:237" ht="17.5" x14ac:dyDescent="0.45">
      <c r="A25" s="358" t="s">
        <v>111</v>
      </c>
      <c r="B25" s="281">
        <v>3526</v>
      </c>
      <c r="C25" s="281">
        <v>1839.9951967808217</v>
      </c>
      <c r="D25" s="281">
        <v>418.695652173913</v>
      </c>
      <c r="E25" s="283">
        <v>0</v>
      </c>
      <c r="F25" s="281">
        <v>5025</v>
      </c>
      <c r="G25" s="281">
        <v>11687</v>
      </c>
      <c r="H25" s="281">
        <v>14662</v>
      </c>
      <c r="I25" s="281">
        <v>1371.3334018999999</v>
      </c>
      <c r="J25" s="63"/>
      <c r="K25" s="63"/>
      <c r="L25" s="63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  <c r="IA25" s="49"/>
      <c r="IB25" s="49"/>
      <c r="IC25" s="49"/>
    </row>
    <row r="26" spans="1:237" ht="17.5" x14ac:dyDescent="0.45">
      <c r="A26" s="358" t="s">
        <v>60</v>
      </c>
      <c r="B26" s="281">
        <v>3224</v>
      </c>
      <c r="C26" s="281">
        <v>1873.5717</v>
      </c>
      <c r="D26" s="281">
        <v>385.43478260869551</v>
      </c>
      <c r="E26" s="283">
        <v>0</v>
      </c>
      <c r="F26" s="281">
        <v>6527</v>
      </c>
      <c r="G26" s="281">
        <v>10500</v>
      </c>
      <c r="H26" s="281">
        <v>8893</v>
      </c>
      <c r="I26" s="281">
        <v>1410.0000705</v>
      </c>
      <c r="J26" s="63" t="s">
        <v>102</v>
      </c>
      <c r="K26" s="63" t="s">
        <v>102</v>
      </c>
      <c r="L26" s="63" t="s">
        <v>102</v>
      </c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  <c r="IA26" s="49"/>
      <c r="IB26" s="49"/>
      <c r="IC26" s="49"/>
    </row>
    <row r="27" spans="1:237" ht="17.5" x14ac:dyDescent="0.45">
      <c r="A27" s="359" t="s">
        <v>61</v>
      </c>
      <c r="B27" s="281">
        <v>810</v>
      </c>
      <c r="C27" s="281">
        <v>1655.5736999999999</v>
      </c>
      <c r="D27" s="281">
        <v>220.304347826087</v>
      </c>
      <c r="E27" s="283">
        <v>0</v>
      </c>
      <c r="F27" s="281">
        <v>4796</v>
      </c>
      <c r="G27" s="281">
        <v>7650</v>
      </c>
      <c r="H27" s="281">
        <v>8935</v>
      </c>
      <c r="I27" s="281">
        <v>1546.3334106500001</v>
      </c>
      <c r="J27" s="63" t="s">
        <v>102</v>
      </c>
      <c r="K27" s="63" t="s">
        <v>102</v>
      </c>
      <c r="L27" s="63" t="s">
        <v>102</v>
      </c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  <c r="IA27" s="49"/>
      <c r="IB27" s="49"/>
      <c r="IC27" s="49"/>
    </row>
    <row r="28" spans="1:237" ht="17.5" x14ac:dyDescent="0.45">
      <c r="A28" s="359" t="s">
        <v>62</v>
      </c>
      <c r="B28" s="281">
        <v>2634</v>
      </c>
      <c r="C28" s="281">
        <v>1614.7999999999997</v>
      </c>
      <c r="D28" s="281">
        <v>407.3478260869565</v>
      </c>
      <c r="E28" s="283">
        <v>0</v>
      </c>
      <c r="F28" s="281">
        <v>5941</v>
      </c>
      <c r="G28" s="281">
        <v>11299</v>
      </c>
      <c r="H28" s="281">
        <v>7803</v>
      </c>
      <c r="I28" s="281">
        <v>1793.66675635</v>
      </c>
      <c r="J28" s="63" t="s">
        <v>102</v>
      </c>
      <c r="K28" s="63" t="s">
        <v>102</v>
      </c>
      <c r="L28" s="63" t="s">
        <v>102</v>
      </c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  <c r="HX28" s="49"/>
      <c r="HY28" s="49"/>
      <c r="HZ28" s="49"/>
      <c r="IA28" s="49"/>
      <c r="IB28" s="49"/>
      <c r="IC28" s="49"/>
    </row>
    <row r="29" spans="1:237" ht="17.5" x14ac:dyDescent="0.45">
      <c r="A29" s="359" t="s">
        <v>63</v>
      </c>
      <c r="B29" s="281">
        <v>4073</v>
      </c>
      <c r="C29" s="281">
        <v>1145.7868019178081</v>
      </c>
      <c r="D29" s="281">
        <v>485.3478260869565</v>
      </c>
      <c r="E29" s="283">
        <v>0</v>
      </c>
      <c r="F29" s="281">
        <v>2955</v>
      </c>
      <c r="G29" s="281">
        <v>9961</v>
      </c>
      <c r="H29" s="281">
        <v>22274</v>
      </c>
      <c r="I29" s="281">
        <v>1795.3334230999999</v>
      </c>
      <c r="J29" s="63" t="s">
        <v>102</v>
      </c>
      <c r="K29" s="63"/>
      <c r="L29" s="63" t="s">
        <v>102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  <c r="IA29" s="49"/>
      <c r="IB29" s="49"/>
      <c r="IC29" s="49"/>
    </row>
    <row r="30" spans="1:237" ht="17.5" x14ac:dyDescent="0.45">
      <c r="A30" s="359" t="s">
        <v>64</v>
      </c>
      <c r="B30" s="281">
        <v>4094</v>
      </c>
      <c r="C30" s="281">
        <v>3340</v>
      </c>
      <c r="D30" s="281">
        <v>308.73913043478251</v>
      </c>
      <c r="E30" s="283">
        <v>0</v>
      </c>
      <c r="F30" s="281">
        <v>4184</v>
      </c>
      <c r="G30" s="281">
        <v>14050</v>
      </c>
      <c r="H30" s="281">
        <v>21209</v>
      </c>
      <c r="I30" s="281">
        <v>2112.5</v>
      </c>
      <c r="J30" s="63" t="s">
        <v>102</v>
      </c>
      <c r="K30" s="63"/>
      <c r="L30" s="63" t="s">
        <v>102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  <c r="IA30" s="49"/>
      <c r="IB30" s="49"/>
      <c r="IC30" s="49"/>
    </row>
    <row r="31" spans="1:237" ht="17.5" x14ac:dyDescent="0.45">
      <c r="A31" s="360" t="s">
        <v>65</v>
      </c>
      <c r="B31" s="281">
        <v>2295</v>
      </c>
      <c r="C31" s="287">
        <v>0</v>
      </c>
      <c r="D31" s="281">
        <v>578.73913043478251</v>
      </c>
      <c r="E31" s="283">
        <v>0</v>
      </c>
      <c r="F31" s="281">
        <v>7832</v>
      </c>
      <c r="G31" s="281">
        <v>13200</v>
      </c>
      <c r="H31" s="281">
        <v>13401</v>
      </c>
      <c r="I31" s="281">
        <v>932.5</v>
      </c>
      <c r="J31" s="63" t="s">
        <v>102</v>
      </c>
      <c r="K31" s="63" t="s">
        <v>102</v>
      </c>
      <c r="L31" s="63" t="s">
        <v>102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  <c r="IA31" s="49"/>
      <c r="IB31" s="49"/>
      <c r="IC31" s="49"/>
    </row>
    <row r="32" spans="1:237" ht="17.5" x14ac:dyDescent="0.45">
      <c r="A32" s="360" t="s">
        <v>66</v>
      </c>
      <c r="B32" s="281">
        <v>3884</v>
      </c>
      <c r="C32" s="283">
        <v>0</v>
      </c>
      <c r="D32" s="283">
        <v>0</v>
      </c>
      <c r="E32" s="283">
        <v>0</v>
      </c>
      <c r="F32" s="281">
        <v>12951</v>
      </c>
      <c r="G32" s="281">
        <v>10850</v>
      </c>
      <c r="H32" s="281">
        <v>9796</v>
      </c>
      <c r="I32" s="281">
        <v>1597.5</v>
      </c>
      <c r="J32" s="63" t="s">
        <v>102</v>
      </c>
      <c r="K32" s="63" t="s">
        <v>102</v>
      </c>
      <c r="L32" s="63" t="s">
        <v>102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  <c r="HX32" s="49"/>
      <c r="HY32" s="49"/>
      <c r="HZ32" s="49"/>
      <c r="IA32" s="49"/>
      <c r="IB32" s="49"/>
      <c r="IC32" s="49"/>
    </row>
    <row r="33" spans="1:237" ht="17.5" x14ac:dyDescent="0.45">
      <c r="A33" s="358" t="s">
        <v>67</v>
      </c>
      <c r="B33" s="281">
        <v>4270</v>
      </c>
      <c r="C33" s="281">
        <v>1550</v>
      </c>
      <c r="D33" s="281">
        <v>297</v>
      </c>
      <c r="E33" s="283">
        <v>0</v>
      </c>
      <c r="F33" s="281">
        <v>8715</v>
      </c>
      <c r="G33" s="281">
        <v>8362</v>
      </c>
      <c r="H33" s="281">
        <v>30289</v>
      </c>
      <c r="I33" s="281">
        <v>1250</v>
      </c>
      <c r="J33" s="63" t="s">
        <v>102</v>
      </c>
      <c r="K33" s="63" t="s">
        <v>102</v>
      </c>
      <c r="L33" s="63" t="s">
        <v>102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  <c r="IA33" s="49"/>
      <c r="IB33" s="49"/>
      <c r="IC33" s="49"/>
    </row>
    <row r="34" spans="1:237" ht="17.5" x14ac:dyDescent="0.45">
      <c r="A34" s="358" t="s">
        <v>68</v>
      </c>
      <c r="B34" s="281">
        <v>1888</v>
      </c>
      <c r="C34" s="281">
        <v>361</v>
      </c>
      <c r="D34" s="281">
        <v>239.73913043478274</v>
      </c>
      <c r="E34" s="283">
        <v>0</v>
      </c>
      <c r="F34" s="281">
        <v>2145</v>
      </c>
      <c r="G34" s="281">
        <v>7480</v>
      </c>
      <c r="H34" s="281">
        <v>8088</v>
      </c>
      <c r="I34" s="281">
        <v>867</v>
      </c>
      <c r="J34" s="63" t="s">
        <v>102</v>
      </c>
      <c r="K34" s="63" t="s">
        <v>102</v>
      </c>
      <c r="L34" s="63" t="s">
        <v>102</v>
      </c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  <c r="IA34" s="49"/>
      <c r="IB34" s="49"/>
      <c r="IC34" s="49"/>
    </row>
    <row r="35" spans="1:237" ht="17.5" x14ac:dyDescent="0.45">
      <c r="A35" s="358" t="s">
        <v>69</v>
      </c>
      <c r="B35" s="283">
        <v>0</v>
      </c>
      <c r="C35" s="281">
        <v>929</v>
      </c>
      <c r="D35" s="281">
        <v>60.260869565217376</v>
      </c>
      <c r="E35" s="283">
        <v>0</v>
      </c>
      <c r="F35" s="281">
        <v>3364</v>
      </c>
      <c r="G35" s="281">
        <v>3850</v>
      </c>
      <c r="H35" s="281">
        <v>3995</v>
      </c>
      <c r="I35" s="281">
        <v>133</v>
      </c>
      <c r="J35" s="63" t="s">
        <v>102</v>
      </c>
      <c r="K35" s="63" t="s">
        <v>102</v>
      </c>
      <c r="L35" s="63" t="s">
        <v>102</v>
      </c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  <c r="IA35" s="49"/>
      <c r="IB35" s="49"/>
      <c r="IC35" s="49"/>
    </row>
    <row r="36" spans="1:237" ht="17.5" x14ac:dyDescent="0.45">
      <c r="A36" s="359" t="s">
        <v>70</v>
      </c>
      <c r="B36" s="281">
        <v>1266</v>
      </c>
      <c r="C36" s="281">
        <v>224</v>
      </c>
      <c r="D36" s="281">
        <v>273.6521739130435</v>
      </c>
      <c r="E36" s="283">
        <v>0</v>
      </c>
      <c r="F36" s="281">
        <v>131</v>
      </c>
      <c r="G36" s="281">
        <v>6441</v>
      </c>
      <c r="H36" s="281">
        <v>2423</v>
      </c>
      <c r="I36" s="281">
        <v>726.5</v>
      </c>
      <c r="J36" s="63" t="s">
        <v>102</v>
      </c>
      <c r="K36" s="63" t="s">
        <v>102</v>
      </c>
      <c r="L36" s="63" t="s">
        <v>102</v>
      </c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  <c r="IA36" s="49"/>
      <c r="IB36" s="49"/>
      <c r="IC36" s="49"/>
    </row>
    <row r="37" spans="1:237" ht="17.5" x14ac:dyDescent="0.45">
      <c r="A37" s="358" t="s">
        <v>71</v>
      </c>
      <c r="B37" s="281">
        <v>4167</v>
      </c>
      <c r="C37" s="281">
        <v>944</v>
      </c>
      <c r="D37" s="281">
        <v>475.82608695652198</v>
      </c>
      <c r="E37" s="283">
        <v>0</v>
      </c>
      <c r="F37" s="281">
        <v>16999</v>
      </c>
      <c r="G37" s="281">
        <v>8395</v>
      </c>
      <c r="H37" s="281">
        <v>13075</v>
      </c>
      <c r="I37" s="281">
        <v>1399</v>
      </c>
      <c r="J37" s="63" t="s">
        <v>102</v>
      </c>
      <c r="K37" s="63" t="s">
        <v>102</v>
      </c>
      <c r="L37" s="63" t="s">
        <v>102</v>
      </c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  <c r="IA37" s="49"/>
      <c r="IB37" s="49"/>
      <c r="IC37" s="49"/>
    </row>
    <row r="38" spans="1:237" ht="17.5" x14ac:dyDescent="0.45">
      <c r="A38" s="358" t="s">
        <v>72</v>
      </c>
      <c r="B38" s="281">
        <v>2671</v>
      </c>
      <c r="C38" s="281">
        <v>1232</v>
      </c>
      <c r="D38" s="281">
        <v>203</v>
      </c>
      <c r="E38" s="283">
        <v>0</v>
      </c>
      <c r="F38" s="281">
        <v>6393</v>
      </c>
      <c r="G38" s="281">
        <v>6600</v>
      </c>
      <c r="H38" s="281">
        <v>17432</v>
      </c>
      <c r="I38" s="281">
        <v>2013</v>
      </c>
      <c r="J38" s="63" t="s">
        <v>102</v>
      </c>
      <c r="K38" s="63" t="s">
        <v>102</v>
      </c>
      <c r="L38" s="63" t="s">
        <v>102</v>
      </c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  <c r="IA38" s="49"/>
      <c r="IB38" s="49"/>
      <c r="IC38" s="49"/>
    </row>
    <row r="39" spans="1:237" ht="17.5" x14ac:dyDescent="0.45">
      <c r="A39" s="358" t="s">
        <v>73</v>
      </c>
      <c r="B39" s="281">
        <v>773</v>
      </c>
      <c r="C39" s="281">
        <v>601</v>
      </c>
      <c r="D39" s="281">
        <v>119</v>
      </c>
      <c r="E39" s="283">
        <v>0</v>
      </c>
      <c r="F39" s="281">
        <v>659</v>
      </c>
      <c r="G39" s="281">
        <v>3300</v>
      </c>
      <c r="H39" s="281">
        <v>989</v>
      </c>
      <c r="I39" s="281">
        <v>683.5</v>
      </c>
      <c r="J39" s="63" t="s">
        <v>102</v>
      </c>
      <c r="K39" s="63" t="s">
        <v>102</v>
      </c>
      <c r="L39" s="63" t="s">
        <v>102</v>
      </c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  <c r="IA39" s="49"/>
      <c r="IB39" s="49"/>
      <c r="IC39" s="49"/>
    </row>
    <row r="40" spans="1:237" ht="17.5" x14ac:dyDescent="0.45">
      <c r="A40" s="358" t="s">
        <v>74</v>
      </c>
      <c r="B40" s="281">
        <v>170</v>
      </c>
      <c r="C40" s="281">
        <v>524</v>
      </c>
      <c r="D40" s="283">
        <v>0</v>
      </c>
      <c r="E40" s="283">
        <v>0</v>
      </c>
      <c r="F40" s="281">
        <v>56</v>
      </c>
      <c r="G40" s="281">
        <v>312</v>
      </c>
      <c r="H40" s="281">
        <v>693</v>
      </c>
      <c r="I40" s="281">
        <v>208</v>
      </c>
      <c r="J40" s="63" t="s">
        <v>102</v>
      </c>
      <c r="K40" s="63" t="s">
        <v>102</v>
      </c>
      <c r="L40" s="63" t="s">
        <v>102</v>
      </c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  <c r="IA40" s="49"/>
      <c r="IB40" s="49"/>
      <c r="IC40" s="49"/>
    </row>
    <row r="41" spans="1:237" ht="17.5" x14ac:dyDescent="0.45">
      <c r="A41" s="358" t="s">
        <v>75</v>
      </c>
      <c r="B41" s="281">
        <v>168</v>
      </c>
      <c r="C41" s="283">
        <v>0</v>
      </c>
      <c r="D41" s="283">
        <v>0</v>
      </c>
      <c r="E41" s="283">
        <v>0</v>
      </c>
      <c r="F41" s="283">
        <v>0</v>
      </c>
      <c r="G41" s="283">
        <v>0</v>
      </c>
      <c r="H41" s="281">
        <v>1854</v>
      </c>
      <c r="I41" s="283">
        <v>0</v>
      </c>
      <c r="J41" s="63" t="s">
        <v>102</v>
      </c>
      <c r="K41" s="63" t="s">
        <v>102</v>
      </c>
      <c r="L41" s="63" t="s">
        <v>102</v>
      </c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  <c r="IA41" s="49"/>
      <c r="IB41" s="49"/>
      <c r="IC41" s="49"/>
    </row>
    <row r="42" spans="1:237" ht="17.5" x14ac:dyDescent="0.45">
      <c r="A42" s="358" t="s">
        <v>76</v>
      </c>
      <c r="B42" s="281">
        <v>228</v>
      </c>
      <c r="C42" s="281">
        <v>103</v>
      </c>
      <c r="D42" s="283">
        <v>0</v>
      </c>
      <c r="E42" s="283">
        <v>0</v>
      </c>
      <c r="F42" s="283">
        <v>0</v>
      </c>
      <c r="G42" s="281">
        <v>825</v>
      </c>
      <c r="H42" s="281">
        <v>740</v>
      </c>
      <c r="I42" s="281">
        <v>125</v>
      </c>
      <c r="J42" s="63" t="s">
        <v>102</v>
      </c>
      <c r="K42" s="63" t="s">
        <v>102</v>
      </c>
      <c r="L42" s="63" t="s">
        <v>102</v>
      </c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  <c r="IA42" s="49"/>
      <c r="IB42" s="49"/>
      <c r="IC42" s="49"/>
    </row>
    <row r="43" spans="1:237" ht="17.5" x14ac:dyDescent="0.45">
      <c r="A43" s="358" t="s">
        <v>77</v>
      </c>
      <c r="B43" s="281">
        <v>1966</v>
      </c>
      <c r="C43" s="281">
        <v>450</v>
      </c>
      <c r="D43" s="281">
        <v>177</v>
      </c>
      <c r="E43" s="283">
        <v>0</v>
      </c>
      <c r="F43" s="281">
        <v>14896</v>
      </c>
      <c r="G43" s="281">
        <v>3000</v>
      </c>
      <c r="H43" s="281">
        <v>3706</v>
      </c>
      <c r="I43" s="284">
        <v>0</v>
      </c>
      <c r="J43" s="63" t="s">
        <v>102</v>
      </c>
      <c r="K43" s="63" t="s">
        <v>102</v>
      </c>
      <c r="L43" s="63" t="s">
        <v>102</v>
      </c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  <c r="IA43" s="49"/>
      <c r="IB43" s="49"/>
      <c r="IC43" s="49"/>
    </row>
    <row r="44" spans="1:237" ht="17.5" x14ac:dyDescent="0.45">
      <c r="A44" s="358" t="s">
        <v>78</v>
      </c>
      <c r="B44" s="281">
        <v>3108</v>
      </c>
      <c r="C44" s="281">
        <v>2685</v>
      </c>
      <c r="D44" s="281">
        <v>37</v>
      </c>
      <c r="E44" s="283">
        <v>0</v>
      </c>
      <c r="F44" s="281">
        <v>10845</v>
      </c>
      <c r="G44" s="281">
        <v>19140</v>
      </c>
      <c r="H44" s="281">
        <v>3356</v>
      </c>
      <c r="I44" s="284">
        <v>1211</v>
      </c>
      <c r="J44" s="63" t="s">
        <v>102</v>
      </c>
      <c r="K44" s="63" t="s">
        <v>102</v>
      </c>
      <c r="L44" s="63" t="s">
        <v>102</v>
      </c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  <c r="HX44" s="49"/>
      <c r="HY44" s="49"/>
      <c r="HZ44" s="49"/>
      <c r="IA44" s="49"/>
      <c r="IB44" s="49"/>
      <c r="IC44" s="49"/>
    </row>
    <row r="45" spans="1:237" ht="17.5" x14ac:dyDescent="0.45">
      <c r="A45" s="358" t="s">
        <v>79</v>
      </c>
      <c r="B45" s="281">
        <v>3177</v>
      </c>
      <c r="C45" s="281">
        <v>1663</v>
      </c>
      <c r="D45" s="281">
        <v>4</v>
      </c>
      <c r="E45" s="283">
        <v>0</v>
      </c>
      <c r="F45" s="281">
        <v>13257</v>
      </c>
      <c r="G45" s="281">
        <v>9963</v>
      </c>
      <c r="H45" s="281">
        <v>17124</v>
      </c>
      <c r="I45" s="284">
        <v>0</v>
      </c>
      <c r="J45" s="63" t="s">
        <v>102</v>
      </c>
      <c r="K45" s="63" t="s">
        <v>102</v>
      </c>
      <c r="L45" s="63" t="s">
        <v>102</v>
      </c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  <c r="IA45" s="49"/>
      <c r="IB45" s="49"/>
      <c r="IC45" s="49"/>
    </row>
    <row r="46" spans="1:237" ht="17.5" x14ac:dyDescent="0.45">
      <c r="A46" s="358" t="s">
        <v>80</v>
      </c>
      <c r="B46" s="281">
        <v>1623</v>
      </c>
      <c r="C46" s="281">
        <v>1817</v>
      </c>
      <c r="D46" s="281">
        <v>2</v>
      </c>
      <c r="E46" s="283">
        <v>0</v>
      </c>
      <c r="F46" s="281">
        <v>6419</v>
      </c>
      <c r="G46" s="281">
        <v>4974</v>
      </c>
      <c r="H46" s="281">
        <v>8606</v>
      </c>
      <c r="I46" s="284">
        <v>654</v>
      </c>
      <c r="J46" s="63" t="s">
        <v>102</v>
      </c>
      <c r="K46" s="63" t="s">
        <v>102</v>
      </c>
      <c r="L46" s="63" t="s">
        <v>102</v>
      </c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  <c r="IA46" s="49"/>
      <c r="IB46" s="49"/>
      <c r="IC46" s="49"/>
    </row>
    <row r="47" spans="1:237" ht="17.5" x14ac:dyDescent="0.45">
      <c r="A47" s="358" t="s">
        <v>81</v>
      </c>
      <c r="B47" s="281">
        <v>397</v>
      </c>
      <c r="C47" s="281">
        <v>73</v>
      </c>
      <c r="D47" s="281">
        <v>1</v>
      </c>
      <c r="E47" s="283">
        <v>0</v>
      </c>
      <c r="F47" s="281">
        <v>2544</v>
      </c>
      <c r="G47" s="281">
        <v>1618</v>
      </c>
      <c r="H47" s="281">
        <v>3776</v>
      </c>
      <c r="I47" s="284">
        <v>92</v>
      </c>
      <c r="J47" s="63" t="s">
        <v>102</v>
      </c>
      <c r="K47" s="63" t="s">
        <v>102</v>
      </c>
      <c r="L47" s="63" t="s">
        <v>102</v>
      </c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  <c r="HX47" s="49"/>
      <c r="HY47" s="49"/>
      <c r="HZ47" s="49"/>
      <c r="IA47" s="49"/>
      <c r="IB47" s="49"/>
      <c r="IC47" s="49"/>
    </row>
    <row r="48" spans="1:237" ht="17.5" x14ac:dyDescent="0.45">
      <c r="A48" s="358" t="s">
        <v>82</v>
      </c>
      <c r="B48" s="281">
        <v>1523.8571428571429</v>
      </c>
      <c r="C48" s="281">
        <v>970.14285714285711</v>
      </c>
      <c r="D48" s="281">
        <v>31.571428571428573</v>
      </c>
      <c r="E48" s="281">
        <v>142.85714285714286</v>
      </c>
      <c r="F48" s="281">
        <v>6851.5714285714284</v>
      </c>
      <c r="G48" s="281">
        <v>5645.7142857142853</v>
      </c>
      <c r="H48" s="281">
        <v>5594.5714285714284</v>
      </c>
      <c r="I48" s="281">
        <v>297.42857142857144</v>
      </c>
      <c r="J48" s="63" t="s">
        <v>102</v>
      </c>
      <c r="K48" s="63" t="s">
        <v>102</v>
      </c>
      <c r="L48" s="63" t="s">
        <v>102</v>
      </c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  <c r="HX48" s="49"/>
      <c r="HY48" s="49"/>
      <c r="HZ48" s="49"/>
      <c r="IA48" s="49"/>
      <c r="IB48" s="49"/>
      <c r="IC48" s="49"/>
    </row>
    <row r="49" spans="1:237" ht="17.5" x14ac:dyDescent="0.45">
      <c r="A49" s="358" t="s">
        <v>83</v>
      </c>
      <c r="B49" s="281">
        <v>1523.8571428571429</v>
      </c>
      <c r="C49" s="281">
        <v>970.14285714285711</v>
      </c>
      <c r="D49" s="281">
        <v>31.571428571428573</v>
      </c>
      <c r="E49" s="281">
        <v>142.85714285714286</v>
      </c>
      <c r="F49" s="281">
        <v>6851.5714285714284</v>
      </c>
      <c r="G49" s="281">
        <v>5645.7142857142853</v>
      </c>
      <c r="H49" s="281">
        <v>5594.5714285714284</v>
      </c>
      <c r="I49" s="281">
        <v>297.42857142857144</v>
      </c>
      <c r="J49" s="63" t="s">
        <v>102</v>
      </c>
      <c r="K49" s="63" t="s">
        <v>102</v>
      </c>
      <c r="L49" s="63" t="s">
        <v>102</v>
      </c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  <c r="IA49" s="49"/>
      <c r="IB49" s="49"/>
      <c r="IC49" s="49"/>
    </row>
    <row r="50" spans="1:237" ht="17.5" x14ac:dyDescent="0.45">
      <c r="A50" s="358" t="s">
        <v>84</v>
      </c>
      <c r="B50" s="281">
        <v>1523.8571428571429</v>
      </c>
      <c r="C50" s="281">
        <v>970.14285714285711</v>
      </c>
      <c r="D50" s="281">
        <v>31.571428571428573</v>
      </c>
      <c r="E50" s="281">
        <v>142.85714285714286</v>
      </c>
      <c r="F50" s="281">
        <v>6851.5714285714284</v>
      </c>
      <c r="G50" s="281">
        <v>5645.7142857142853</v>
      </c>
      <c r="H50" s="281">
        <v>5594.5714285714284</v>
      </c>
      <c r="I50" s="281">
        <v>297.42857142857144</v>
      </c>
      <c r="J50" s="63" t="s">
        <v>102</v>
      </c>
      <c r="K50" s="63" t="s">
        <v>102</v>
      </c>
      <c r="L50" s="63" t="s">
        <v>102</v>
      </c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  <c r="IA50" s="49"/>
      <c r="IB50" s="49"/>
      <c r="IC50" s="49"/>
    </row>
    <row r="51" spans="1:237" ht="17.5" x14ac:dyDescent="0.45">
      <c r="A51" s="358" t="s">
        <v>85</v>
      </c>
      <c r="B51" s="281">
        <v>1523.8571428571429</v>
      </c>
      <c r="C51" s="281">
        <v>970.14285714285711</v>
      </c>
      <c r="D51" s="281">
        <v>31.571428571428573</v>
      </c>
      <c r="E51" s="281">
        <v>142.85714285714286</v>
      </c>
      <c r="F51" s="281">
        <v>6851.5714285714284</v>
      </c>
      <c r="G51" s="281">
        <v>5645.7142857142853</v>
      </c>
      <c r="H51" s="281">
        <v>5594.5714285714284</v>
      </c>
      <c r="I51" s="281">
        <v>297.42857142857144</v>
      </c>
      <c r="J51" s="63" t="s">
        <v>102</v>
      </c>
      <c r="K51" s="63" t="s">
        <v>102</v>
      </c>
      <c r="L51" s="63" t="s">
        <v>102</v>
      </c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  <c r="IA51" s="49"/>
      <c r="IB51" s="49"/>
      <c r="IC51" s="49"/>
    </row>
    <row r="52" spans="1:237" ht="17.5" x14ac:dyDescent="0.45">
      <c r="A52" s="358" t="s">
        <v>86</v>
      </c>
      <c r="B52" s="281">
        <v>1523.8571428571429</v>
      </c>
      <c r="C52" s="281">
        <v>970.14285714285711</v>
      </c>
      <c r="D52" s="281">
        <v>31.571428571428573</v>
      </c>
      <c r="E52" s="281">
        <v>142.85714285714286</v>
      </c>
      <c r="F52" s="281">
        <v>6851.5714285714284</v>
      </c>
      <c r="G52" s="281">
        <v>5645.7142857142853</v>
      </c>
      <c r="H52" s="281">
        <v>5594.5714285714284</v>
      </c>
      <c r="I52" s="281">
        <v>297.42857142857144</v>
      </c>
      <c r="J52" s="63" t="s">
        <v>102</v>
      </c>
      <c r="K52" s="63" t="s">
        <v>102</v>
      </c>
      <c r="L52" s="63" t="s">
        <v>102</v>
      </c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  <c r="HX52" s="49"/>
      <c r="HY52" s="49"/>
      <c r="HZ52" s="49"/>
      <c r="IA52" s="49"/>
      <c r="IB52" s="49"/>
      <c r="IC52" s="49"/>
    </row>
    <row r="53" spans="1:237" ht="17.5" x14ac:dyDescent="0.45">
      <c r="A53" s="358" t="s">
        <v>87</v>
      </c>
      <c r="B53" s="281">
        <v>1523.8571428571429</v>
      </c>
      <c r="C53" s="281">
        <v>970.14285714285711</v>
      </c>
      <c r="D53" s="281">
        <v>31.571428571428573</v>
      </c>
      <c r="E53" s="281">
        <v>142.85714285714286</v>
      </c>
      <c r="F53" s="281">
        <v>6851.5714285714284</v>
      </c>
      <c r="G53" s="281">
        <v>5645.7142857142853</v>
      </c>
      <c r="H53" s="281">
        <v>5594.5714285714284</v>
      </c>
      <c r="I53" s="281">
        <v>297.42857142857144</v>
      </c>
      <c r="J53" s="63" t="s">
        <v>102</v>
      </c>
      <c r="K53" s="63" t="s">
        <v>102</v>
      </c>
      <c r="L53" s="63" t="s">
        <v>102</v>
      </c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  <c r="IA53" s="49"/>
      <c r="IB53" s="49"/>
      <c r="IC53" s="49"/>
    </row>
    <row r="54" spans="1:237" ht="17.5" x14ac:dyDescent="0.45">
      <c r="A54" s="358" t="s">
        <v>88</v>
      </c>
      <c r="B54" s="281">
        <v>1523.8571428571429</v>
      </c>
      <c r="C54" s="281">
        <v>970.14285714285711</v>
      </c>
      <c r="D54" s="281">
        <v>31.571428571428573</v>
      </c>
      <c r="E54" s="281">
        <v>142.85714285714286</v>
      </c>
      <c r="F54" s="281">
        <v>6851.5714285714284</v>
      </c>
      <c r="G54" s="281">
        <v>5645.7142857142853</v>
      </c>
      <c r="H54" s="281">
        <v>5594.5714285714284</v>
      </c>
      <c r="I54" s="281">
        <v>297.42857142857144</v>
      </c>
      <c r="J54" s="63" t="s">
        <v>102</v>
      </c>
      <c r="K54" s="63"/>
      <c r="L54" s="63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  <c r="IA54" s="49"/>
      <c r="IB54" s="49"/>
      <c r="IC54" s="49"/>
    </row>
    <row r="55" spans="1:237" ht="17.5" x14ac:dyDescent="0.45">
      <c r="A55" s="358" t="s">
        <v>89</v>
      </c>
      <c r="B55" s="281">
        <v>1523.8571428571429</v>
      </c>
      <c r="C55" s="281">
        <v>970.14285714285711</v>
      </c>
      <c r="D55" s="281">
        <v>31.571428571428573</v>
      </c>
      <c r="E55" s="281">
        <v>142.85714285714286</v>
      </c>
      <c r="F55" s="281">
        <v>6851.5714285714284</v>
      </c>
      <c r="G55" s="281">
        <v>5645.7142857142853</v>
      </c>
      <c r="H55" s="281">
        <v>5594.5714285714284</v>
      </c>
      <c r="I55" s="281">
        <v>297.42857142857144</v>
      </c>
      <c r="J55" s="63" t="s">
        <v>102</v>
      </c>
      <c r="K55" s="63" t="s">
        <v>102</v>
      </c>
      <c r="L55" s="63" t="s">
        <v>102</v>
      </c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  <c r="IA55" s="49"/>
      <c r="IB55" s="49"/>
      <c r="IC55" s="49"/>
    </row>
    <row r="56" spans="1:237" ht="18" thickBot="1" x14ac:dyDescent="0.5">
      <c r="A56" s="358" t="s">
        <v>90</v>
      </c>
      <c r="B56" s="281">
        <v>1523.8571428571429</v>
      </c>
      <c r="C56" s="281">
        <v>970.14285714285711</v>
      </c>
      <c r="D56" s="281">
        <v>31.571428571428573</v>
      </c>
      <c r="E56" s="281">
        <v>142.85714285714286</v>
      </c>
      <c r="F56" s="281">
        <v>6851.5714285714284</v>
      </c>
      <c r="G56" s="281">
        <v>5645.7142857142853</v>
      </c>
      <c r="H56" s="281">
        <v>5594.5714285714284</v>
      </c>
      <c r="I56" s="281">
        <v>297.42857142857144</v>
      </c>
      <c r="J56" s="63" t="s">
        <v>102</v>
      </c>
      <c r="K56" s="63" t="s">
        <v>102</v>
      </c>
      <c r="L56" s="63" t="s">
        <v>102</v>
      </c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  <c r="HX56" s="49"/>
      <c r="HY56" s="49"/>
      <c r="HZ56" s="49"/>
      <c r="IA56" s="49"/>
      <c r="IB56" s="49"/>
      <c r="IC56" s="49"/>
    </row>
    <row r="57" spans="1:237" ht="18.5" x14ac:dyDescent="0.45">
      <c r="A57" s="358" t="s">
        <v>91</v>
      </c>
      <c r="B57" s="285">
        <v>130767.7142857143</v>
      </c>
      <c r="C57" s="285">
        <v>71839.610650984323</v>
      </c>
      <c r="D57" s="285">
        <v>13910.142857142862</v>
      </c>
      <c r="E57" s="285">
        <v>43238.714285714304</v>
      </c>
      <c r="F57" s="285">
        <v>677762.14285714331</v>
      </c>
      <c r="G57" s="285">
        <v>436761.42857142835</v>
      </c>
      <c r="H57" s="285">
        <v>724083.14285714331</v>
      </c>
      <c r="I57" s="285">
        <v>61566.35938710715</v>
      </c>
      <c r="J57" s="70"/>
      <c r="K57" s="70"/>
      <c r="L57" s="70" t="s">
        <v>102</v>
      </c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  <c r="IA57" s="21"/>
      <c r="IB57" s="21"/>
      <c r="IC57" s="21"/>
    </row>
    <row r="58" spans="1:237" s="9" customFormat="1" ht="18.5" x14ac:dyDescent="0.45">
      <c r="A58" s="358" t="s">
        <v>92</v>
      </c>
      <c r="B58" s="281">
        <v>1523.8571428571429</v>
      </c>
      <c r="C58" s="281">
        <v>970.14285714285711</v>
      </c>
      <c r="D58" s="281">
        <v>31.571428571428573</v>
      </c>
      <c r="E58" s="281">
        <v>142.85714285714286</v>
      </c>
      <c r="F58" s="281">
        <v>6851.5714285714284</v>
      </c>
      <c r="G58" s="281">
        <v>5645.7142857142853</v>
      </c>
      <c r="H58" s="281">
        <v>5594.5714285714284</v>
      </c>
      <c r="I58" s="281">
        <v>297.42857142857144</v>
      </c>
      <c r="J58" s="72"/>
      <c r="K58" s="72"/>
      <c r="L58" s="72" t="s">
        <v>102</v>
      </c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74"/>
      <c r="CB58" s="74"/>
      <c r="CC58" s="74"/>
      <c r="CD58" s="74"/>
      <c r="CE58" s="74"/>
      <c r="CF58" s="74"/>
      <c r="CG58" s="74"/>
      <c r="CH58" s="74"/>
      <c r="CI58" s="74"/>
      <c r="CJ58" s="74"/>
      <c r="CK58" s="74"/>
      <c r="CL58" s="74"/>
      <c r="CM58" s="74"/>
      <c r="CN58" s="74"/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4"/>
      <c r="DD58" s="74"/>
      <c r="DE58" s="74"/>
      <c r="DF58" s="74"/>
      <c r="DG58" s="74"/>
      <c r="DH58" s="74"/>
      <c r="DI58" s="74"/>
      <c r="DJ58" s="74"/>
      <c r="DK58" s="74"/>
      <c r="DL58" s="74"/>
      <c r="DM58" s="74"/>
      <c r="DN58" s="74"/>
      <c r="DO58" s="74"/>
      <c r="DP58" s="74"/>
      <c r="DQ58" s="74"/>
      <c r="DR58" s="74"/>
      <c r="DS58" s="74"/>
      <c r="DT58" s="74"/>
      <c r="DU58" s="74"/>
      <c r="DV58" s="74"/>
      <c r="DW58" s="74"/>
      <c r="DX58" s="74"/>
      <c r="DY58" s="74"/>
      <c r="DZ58" s="74"/>
      <c r="EA58" s="74"/>
      <c r="EB58" s="74"/>
      <c r="EC58" s="74"/>
      <c r="ED58" s="74"/>
      <c r="EE58" s="74"/>
      <c r="EF58" s="74"/>
      <c r="EG58" s="74"/>
      <c r="EH58" s="74"/>
      <c r="EI58" s="74"/>
      <c r="EJ58" s="74"/>
      <c r="EK58" s="74"/>
      <c r="EL58" s="74"/>
      <c r="EM58" s="74"/>
      <c r="EN58" s="74"/>
      <c r="EO58" s="74"/>
      <c r="EP58" s="74"/>
      <c r="EQ58" s="74"/>
      <c r="ER58" s="74"/>
      <c r="ES58" s="74"/>
      <c r="ET58" s="74"/>
      <c r="EU58" s="74"/>
      <c r="EV58" s="74"/>
      <c r="EW58" s="74"/>
      <c r="EX58" s="74"/>
      <c r="EY58" s="74"/>
      <c r="EZ58" s="74"/>
      <c r="FA58" s="74"/>
      <c r="FB58" s="74"/>
      <c r="FC58" s="74"/>
      <c r="FD58" s="74"/>
      <c r="FE58" s="74"/>
      <c r="FF58" s="74"/>
      <c r="FG58" s="74"/>
      <c r="FH58" s="74"/>
      <c r="FI58" s="74"/>
      <c r="FJ58" s="74"/>
      <c r="FK58" s="74"/>
      <c r="FL58" s="74"/>
      <c r="FM58" s="74"/>
      <c r="FN58" s="74"/>
      <c r="FO58" s="74"/>
      <c r="FP58" s="74"/>
      <c r="FQ58" s="74"/>
      <c r="FR58" s="74"/>
      <c r="FS58" s="74"/>
      <c r="FT58" s="74"/>
      <c r="FU58" s="74"/>
      <c r="FV58" s="74"/>
      <c r="FW58" s="74"/>
      <c r="FX58" s="74"/>
      <c r="FY58" s="74"/>
      <c r="FZ58" s="74"/>
      <c r="GA58" s="74"/>
      <c r="GB58" s="74"/>
      <c r="GC58" s="74"/>
      <c r="GD58" s="74"/>
      <c r="GE58" s="74"/>
      <c r="GF58" s="74"/>
      <c r="GG58" s="74"/>
      <c r="GH58" s="74"/>
      <c r="GI58" s="74"/>
      <c r="GJ58" s="74"/>
      <c r="GK58" s="74"/>
      <c r="GL58" s="74"/>
      <c r="GM58" s="74"/>
      <c r="GN58" s="74"/>
      <c r="GO58" s="74"/>
      <c r="GP58" s="74"/>
      <c r="GQ58" s="74"/>
      <c r="GR58" s="74"/>
      <c r="GS58" s="74"/>
      <c r="GT58" s="74"/>
      <c r="GU58" s="74"/>
      <c r="GV58" s="74"/>
      <c r="GW58" s="74"/>
      <c r="GX58" s="74"/>
      <c r="GY58" s="74"/>
      <c r="GZ58" s="74"/>
      <c r="HA58" s="74"/>
      <c r="HB58" s="74"/>
      <c r="HC58" s="74"/>
      <c r="HD58" s="74"/>
      <c r="HE58" s="74"/>
      <c r="HF58" s="74"/>
      <c r="HG58" s="74"/>
      <c r="HH58" s="74"/>
      <c r="HI58" s="74"/>
      <c r="HJ58" s="74"/>
      <c r="HK58" s="74"/>
      <c r="HL58" s="74"/>
      <c r="HM58" s="74"/>
      <c r="HN58" s="74"/>
      <c r="HO58" s="74"/>
      <c r="HP58" s="74"/>
      <c r="HQ58" s="74"/>
      <c r="HR58" s="74"/>
      <c r="HS58" s="74"/>
      <c r="HT58" s="74"/>
      <c r="HU58" s="74"/>
      <c r="HV58" s="74"/>
      <c r="HW58" s="74"/>
      <c r="HX58" s="74"/>
      <c r="HY58" s="74"/>
      <c r="HZ58" s="74"/>
      <c r="IA58" s="74"/>
      <c r="IB58" s="74"/>
      <c r="IC58" s="74"/>
    </row>
    <row r="59" spans="1:237" ht="17.5" x14ac:dyDescent="0.45">
      <c r="A59" s="358" t="s">
        <v>93</v>
      </c>
      <c r="B59" s="281">
        <v>12190.857142857143</v>
      </c>
      <c r="C59" s="281">
        <v>7761.142857142856</v>
      </c>
      <c r="D59" s="281">
        <v>252.57142857142861</v>
      </c>
      <c r="E59" s="281">
        <v>1142.8571428571429</v>
      </c>
      <c r="F59" s="281">
        <v>54812.571428571428</v>
      </c>
      <c r="G59" s="281">
        <v>45165.714285714275</v>
      </c>
      <c r="H59" s="281">
        <v>44756.571428571428</v>
      </c>
      <c r="I59" s="281">
        <v>2379.428571428572</v>
      </c>
      <c r="J59" s="19" t="s">
        <v>102</v>
      </c>
      <c r="K59" s="19" t="s">
        <v>102</v>
      </c>
      <c r="L59" s="19" t="s">
        <v>102</v>
      </c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</row>
    <row r="60" spans="1:237" x14ac:dyDescent="0.35">
      <c r="A60" s="55"/>
      <c r="B60" s="5"/>
      <c r="C60" s="5"/>
      <c r="D60" s="57"/>
      <c r="E60" s="56" t="s">
        <v>102</v>
      </c>
      <c r="F60" s="56" t="s">
        <v>102</v>
      </c>
      <c r="G60" s="56" t="s">
        <v>102</v>
      </c>
      <c r="H60" s="56" t="s">
        <v>102</v>
      </c>
      <c r="I60" s="56" t="s">
        <v>102</v>
      </c>
      <c r="J60" s="56" t="s">
        <v>102</v>
      </c>
      <c r="K60" s="56" t="s">
        <v>102</v>
      </c>
      <c r="L60" s="56" t="s">
        <v>102</v>
      </c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</row>
    <row r="61" spans="1:237" x14ac:dyDescent="0.35">
      <c r="A61" s="55"/>
      <c r="B61" s="5"/>
      <c r="C61" s="5"/>
      <c r="D61" s="57"/>
      <c r="E61" s="56" t="s">
        <v>102</v>
      </c>
      <c r="F61" s="56" t="s">
        <v>102</v>
      </c>
      <c r="G61" s="56" t="s">
        <v>102</v>
      </c>
      <c r="H61" s="56" t="s">
        <v>102</v>
      </c>
      <c r="I61" s="56" t="s">
        <v>102</v>
      </c>
      <c r="J61" s="56" t="s">
        <v>102</v>
      </c>
      <c r="K61" s="56" t="s">
        <v>102</v>
      </c>
      <c r="L61" s="56" t="s">
        <v>102</v>
      </c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</row>
    <row r="62" spans="1:237" x14ac:dyDescent="0.35">
      <c r="A62" s="55"/>
      <c r="B62" s="75"/>
      <c r="C62" s="5"/>
      <c r="D62" s="57"/>
      <c r="E62" s="56"/>
      <c r="F62" s="56" t="s">
        <v>102</v>
      </c>
      <c r="G62" s="56" t="s">
        <v>102</v>
      </c>
      <c r="H62" s="56" t="s">
        <v>102</v>
      </c>
      <c r="I62" s="56" t="s">
        <v>102</v>
      </c>
      <c r="J62" s="56" t="s">
        <v>102</v>
      </c>
      <c r="K62" s="56"/>
      <c r="L62" s="56" t="s">
        <v>102</v>
      </c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</row>
    <row r="63" spans="1:237" x14ac:dyDescent="0.35">
      <c r="A63" s="55"/>
      <c r="B63" s="5"/>
      <c r="C63" s="5"/>
      <c r="D63" s="57"/>
      <c r="E63" s="56" t="s">
        <v>102</v>
      </c>
      <c r="F63" s="56" t="s">
        <v>102</v>
      </c>
      <c r="G63" s="56" t="s">
        <v>102</v>
      </c>
      <c r="H63" s="56" t="s">
        <v>102</v>
      </c>
      <c r="I63" s="56" t="s">
        <v>102</v>
      </c>
      <c r="J63" s="56" t="s">
        <v>102</v>
      </c>
      <c r="K63" s="56" t="s">
        <v>102</v>
      </c>
      <c r="L63" s="56" t="s">
        <v>102</v>
      </c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</row>
    <row r="64" spans="1:237" x14ac:dyDescent="0.35">
      <c r="A64" s="55"/>
      <c r="B64" s="5"/>
      <c r="C64" s="5"/>
      <c r="D64" s="57"/>
      <c r="E64" s="56" t="s">
        <v>102</v>
      </c>
      <c r="F64" s="56" t="s">
        <v>102</v>
      </c>
      <c r="G64" s="56" t="s">
        <v>102</v>
      </c>
      <c r="H64" s="56" t="s">
        <v>102</v>
      </c>
      <c r="I64" s="56" t="s">
        <v>102</v>
      </c>
      <c r="J64" s="56" t="s">
        <v>102</v>
      </c>
      <c r="K64" s="56" t="s">
        <v>102</v>
      </c>
      <c r="L64" s="56" t="s">
        <v>102</v>
      </c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</row>
    <row r="65" spans="1:33" x14ac:dyDescent="0.35">
      <c r="A65" s="55"/>
      <c r="B65" s="5"/>
      <c r="C65" s="5"/>
      <c r="D65" s="57"/>
      <c r="E65" s="57"/>
      <c r="F65" s="57"/>
      <c r="G65" s="57"/>
      <c r="H65" s="57"/>
      <c r="I65" s="57"/>
      <c r="J65" s="57"/>
      <c r="K65" s="57"/>
      <c r="L65" s="57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</row>
    <row r="66" spans="1:33" x14ac:dyDescent="0.35">
      <c r="A66" s="55"/>
      <c r="B66" s="5"/>
      <c r="C66" s="5"/>
      <c r="D66" s="57"/>
      <c r="E66" s="57"/>
      <c r="F66" s="57"/>
      <c r="G66" s="57"/>
      <c r="H66" s="57"/>
      <c r="I66" s="57"/>
      <c r="J66" s="57"/>
      <c r="K66" s="57"/>
      <c r="L66" s="57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</row>
    <row r="67" spans="1:33" x14ac:dyDescent="0.35">
      <c r="A67" s="55"/>
      <c r="B67" s="5"/>
      <c r="C67" s="5"/>
      <c r="D67" s="57"/>
      <c r="E67" s="57"/>
      <c r="F67" s="57"/>
      <c r="G67" s="57"/>
      <c r="H67" s="57"/>
      <c r="I67" s="57"/>
      <c r="J67" s="57"/>
      <c r="K67" s="57"/>
      <c r="L67" s="57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</row>
    <row r="68" spans="1:33" x14ac:dyDescent="0.35">
      <c r="A68" s="55"/>
      <c r="B68" s="5"/>
      <c r="C68" s="5"/>
      <c r="D68" s="57"/>
      <c r="E68" s="5"/>
      <c r="F68" s="5"/>
      <c r="G68" s="57"/>
      <c r="H68" s="56"/>
      <c r="I68" s="56"/>
      <c r="J68" s="56"/>
      <c r="K68" s="56"/>
      <c r="L68" s="56"/>
      <c r="M68" s="56"/>
      <c r="N68" s="56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</row>
    <row r="69" spans="1:33" x14ac:dyDescent="0.35">
      <c r="A69" s="55"/>
      <c r="B69" s="5"/>
      <c r="C69" s="5"/>
      <c r="D69" s="57"/>
      <c r="E69" s="57"/>
      <c r="F69" s="57"/>
      <c r="G69" s="57"/>
      <c r="H69" s="57"/>
      <c r="I69" s="57"/>
      <c r="J69" s="57"/>
      <c r="K69" s="57"/>
      <c r="L69" s="57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</row>
    <row r="70" spans="1:33" x14ac:dyDescent="0.35">
      <c r="A70" s="55"/>
      <c r="B70" s="5"/>
      <c r="C70" s="5"/>
      <c r="D70" s="57"/>
      <c r="E70" s="57"/>
      <c r="F70" s="57"/>
      <c r="G70" s="57"/>
      <c r="H70" s="57"/>
      <c r="I70" s="57"/>
      <c r="J70" s="57"/>
      <c r="K70" s="57"/>
      <c r="L70" s="57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</row>
    <row r="71" spans="1:33" x14ac:dyDescent="0.35">
      <c r="A71" s="55"/>
      <c r="B71" s="5"/>
      <c r="C71" s="5"/>
      <c r="D71" s="57"/>
      <c r="E71" s="57"/>
      <c r="F71" s="57"/>
      <c r="G71" s="57"/>
      <c r="H71" s="57"/>
      <c r="I71" s="57"/>
      <c r="J71" s="57"/>
      <c r="K71" s="57"/>
      <c r="L71" s="57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</row>
    <row r="72" spans="1:33" x14ac:dyDescent="0.35">
      <c r="A72" s="55"/>
      <c r="B72" s="5"/>
      <c r="C72" s="5"/>
      <c r="D72" s="57"/>
      <c r="E72" s="57"/>
      <c r="F72" s="57"/>
      <c r="G72" s="57"/>
      <c r="H72" s="57"/>
      <c r="I72" s="57"/>
      <c r="J72" s="57"/>
      <c r="K72" s="57"/>
      <c r="L72" s="57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</row>
    <row r="73" spans="1:33" x14ac:dyDescent="0.35">
      <c r="A73" s="55"/>
      <c r="B73" s="5"/>
      <c r="C73" s="5"/>
      <c r="D73" s="57"/>
      <c r="E73" s="57"/>
      <c r="F73" s="57"/>
      <c r="G73" s="57"/>
      <c r="H73" s="57"/>
      <c r="I73" s="57"/>
      <c r="J73" s="57"/>
      <c r="K73" s="57"/>
      <c r="L73" s="57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</row>
    <row r="74" spans="1:33" x14ac:dyDescent="0.35">
      <c r="A74" s="55"/>
      <c r="B74" s="5"/>
      <c r="C74" s="5"/>
      <c r="D74" s="57"/>
      <c r="E74" s="57"/>
      <c r="F74" s="57"/>
      <c r="G74" s="57"/>
      <c r="H74" s="57"/>
      <c r="I74" s="57"/>
      <c r="J74" s="57"/>
      <c r="K74" s="57"/>
      <c r="L74" s="57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</row>
    <row r="75" spans="1:33" x14ac:dyDescent="0.35"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</row>
    <row r="76" spans="1:33" x14ac:dyDescent="0.35"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</row>
    <row r="77" spans="1:33" x14ac:dyDescent="0.35"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</row>
    <row r="78" spans="1:33" x14ac:dyDescent="0.35"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</row>
    <row r="79" spans="1:33" x14ac:dyDescent="0.35"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</row>
    <row r="80" spans="1:33" x14ac:dyDescent="0.35"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</row>
    <row r="81" spans="4:33" x14ac:dyDescent="0.35"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</row>
    <row r="82" spans="4:33" x14ac:dyDescent="0.35"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</row>
    <row r="83" spans="4:33" x14ac:dyDescent="0.35"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</row>
    <row r="84" spans="4:33" x14ac:dyDescent="0.35"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</row>
    <row r="85" spans="4:33" x14ac:dyDescent="0.35"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</row>
    <row r="86" spans="4:33" x14ac:dyDescent="0.35"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</row>
    <row r="87" spans="4:33" x14ac:dyDescent="0.35"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</row>
    <row r="88" spans="4:33" x14ac:dyDescent="0.35"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</row>
    <row r="89" spans="4:33" x14ac:dyDescent="0.35"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</row>
    <row r="90" spans="4:33" x14ac:dyDescent="0.35"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</row>
    <row r="91" spans="4:33" x14ac:dyDescent="0.35"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</row>
    <row r="92" spans="4:33" x14ac:dyDescent="0.35"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</row>
    <row r="93" spans="4:33" x14ac:dyDescent="0.35"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</row>
    <row r="94" spans="4:33" x14ac:dyDescent="0.35"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</row>
    <row r="95" spans="4:33" x14ac:dyDescent="0.35"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</row>
    <row r="96" spans="4:33" x14ac:dyDescent="0.35"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</row>
    <row r="97" spans="4:33" x14ac:dyDescent="0.35"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</row>
    <row r="98" spans="4:33" x14ac:dyDescent="0.35"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</row>
    <row r="99" spans="4:33" x14ac:dyDescent="0.35"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</row>
    <row r="100" spans="4:33" x14ac:dyDescent="0.35"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</row>
    <row r="101" spans="4:33" x14ac:dyDescent="0.35"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</row>
    <row r="102" spans="4:33" x14ac:dyDescent="0.35"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</row>
    <row r="103" spans="4:33" x14ac:dyDescent="0.35"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</row>
    <row r="104" spans="4:33" x14ac:dyDescent="0.35"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</row>
    <row r="105" spans="4:33" x14ac:dyDescent="0.35"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</row>
    <row r="106" spans="4:33" x14ac:dyDescent="0.35"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</row>
    <row r="107" spans="4:33" x14ac:dyDescent="0.35"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</row>
    <row r="108" spans="4:33" x14ac:dyDescent="0.35"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</row>
    <row r="109" spans="4:33" x14ac:dyDescent="0.35"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</row>
    <row r="110" spans="4:33" x14ac:dyDescent="0.35"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</row>
    <row r="111" spans="4:33" x14ac:dyDescent="0.35"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</row>
    <row r="112" spans="4:33" x14ac:dyDescent="0.35"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</row>
    <row r="113" spans="4:33" x14ac:dyDescent="0.35"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</row>
    <row r="114" spans="4:33" x14ac:dyDescent="0.35"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</row>
    <row r="115" spans="4:33" x14ac:dyDescent="0.35"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</row>
    <row r="116" spans="4:33" x14ac:dyDescent="0.35"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</row>
    <row r="117" spans="4:33" x14ac:dyDescent="0.35"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</row>
    <row r="118" spans="4:33" x14ac:dyDescent="0.35"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</row>
    <row r="119" spans="4:33" x14ac:dyDescent="0.35"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</row>
    <row r="120" spans="4:33" x14ac:dyDescent="0.35"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</row>
  </sheetData>
  <printOptions horizontalCentered="1"/>
  <pageMargins left="0.25" right="0.25" top="0.5" bottom="0.25" header="0.3" footer="0.3"/>
  <pageSetup scale="48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pdfPage5">
                <anchor moveWithCells="1" sizeWithCells="1">
                  <from>
                    <xdr:col>0</xdr:col>
                    <xdr:colOff>50800</xdr:colOff>
                    <xdr:row>0</xdr:row>
                    <xdr:rowOff>19050</xdr:rowOff>
                  </from>
                  <to>
                    <xdr:col>0</xdr:col>
                    <xdr:colOff>76200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30671-B91D-4A36-B72F-101C68B71DE7}">
  <sheetPr transitionEvaluation="1" transitionEntry="1" codeName="Sheet7">
    <pageSetUpPr fitToPage="1"/>
  </sheetPr>
  <dimension ref="A1:HW339"/>
  <sheetViews>
    <sheetView defaultGridColor="0" colorId="22" zoomScale="90" zoomScaleNormal="90" zoomScaleSheetLayoutView="125" workbookViewId="0">
      <selection activeCell="A6" sqref="A6:I6"/>
    </sheetView>
  </sheetViews>
  <sheetFormatPr defaultColWidth="9.58203125" defaultRowHeight="20.149999999999999" customHeight="1" x14ac:dyDescent="0.35"/>
  <cols>
    <col min="1" max="1" width="40.58203125" style="9" customWidth="1"/>
    <col min="2" max="9" width="18.83203125" customWidth="1"/>
  </cols>
  <sheetData>
    <row r="1" spans="1:231" s="2" customFormat="1" ht="21" x14ac:dyDescent="0.55000000000000004">
      <c r="A1" s="10" t="s">
        <v>0</v>
      </c>
      <c r="B1" s="251"/>
      <c r="C1" s="251"/>
      <c r="D1" s="251"/>
      <c r="E1" s="273"/>
      <c r="F1" s="275"/>
      <c r="G1" s="275"/>
      <c r="H1" s="275"/>
      <c r="I1" s="276"/>
    </row>
    <row r="2" spans="1:231" s="2" customFormat="1" ht="21" x14ac:dyDescent="0.55000000000000004">
      <c r="A2" s="11" t="s">
        <v>1</v>
      </c>
      <c r="B2" s="274"/>
      <c r="C2" s="277"/>
      <c r="D2" s="277"/>
      <c r="E2" s="277"/>
      <c r="F2" s="277"/>
      <c r="G2" s="277"/>
      <c r="H2" s="277"/>
      <c r="I2" s="278"/>
    </row>
    <row r="3" spans="1:231" s="2" customFormat="1" ht="21" x14ac:dyDescent="0.55000000000000004">
      <c r="A3" s="76" t="s">
        <v>2</v>
      </c>
      <c r="B3" s="274"/>
      <c r="C3" s="277"/>
      <c r="D3" s="277"/>
      <c r="E3" s="277"/>
      <c r="F3" s="277"/>
      <c r="G3" s="277"/>
      <c r="H3" s="277"/>
      <c r="I3" s="279"/>
    </row>
    <row r="4" spans="1:231" s="2" customFormat="1" ht="55.5" x14ac:dyDescent="0.55000000000000004">
      <c r="A4" s="76" t="s">
        <v>3</v>
      </c>
      <c r="B4" s="274"/>
      <c r="C4" s="277"/>
      <c r="D4" s="277"/>
      <c r="E4" s="277"/>
      <c r="F4" s="277"/>
      <c r="G4" s="277"/>
      <c r="H4" s="277"/>
      <c r="I4" s="251"/>
    </row>
    <row r="5" spans="1:231" s="2" customFormat="1" ht="55.5" x14ac:dyDescent="0.55000000000000004">
      <c r="A5" s="76" t="s">
        <v>120</v>
      </c>
      <c r="B5" s="251"/>
      <c r="C5" s="251"/>
      <c r="D5" s="251"/>
      <c r="E5" s="273"/>
      <c r="F5" s="273"/>
      <c r="G5" s="273"/>
      <c r="H5" s="273"/>
      <c r="I5" s="273"/>
      <c r="J5" s="77"/>
      <c r="K5" s="77"/>
      <c r="L5" s="77"/>
      <c r="M5" s="77"/>
      <c r="N5" s="77"/>
      <c r="O5" s="77"/>
    </row>
    <row r="6" spans="1:231" s="69" customFormat="1" ht="93.75" customHeight="1" x14ac:dyDescent="0.35">
      <c r="A6" s="367" t="s">
        <v>34</v>
      </c>
      <c r="B6" s="356" t="s">
        <v>121</v>
      </c>
      <c r="C6" s="368" t="s">
        <v>122</v>
      </c>
      <c r="D6" s="366" t="s">
        <v>123</v>
      </c>
      <c r="E6" s="363" t="s">
        <v>124</v>
      </c>
      <c r="F6" s="363" t="s">
        <v>421</v>
      </c>
      <c r="G6" s="363" t="s">
        <v>125</v>
      </c>
      <c r="H6" s="363" t="s">
        <v>126</v>
      </c>
      <c r="I6" s="363" t="s">
        <v>127</v>
      </c>
      <c r="J6" s="78"/>
      <c r="O6" s="78"/>
    </row>
    <row r="7" spans="1:231" ht="17.5" x14ac:dyDescent="0.45">
      <c r="A7" s="18" t="s">
        <v>42</v>
      </c>
      <c r="B7" s="281">
        <v>56252</v>
      </c>
      <c r="C7" s="281">
        <v>399275.37588419125</v>
      </c>
      <c r="D7" s="281">
        <v>7079</v>
      </c>
      <c r="E7" s="281">
        <v>4417</v>
      </c>
      <c r="F7" s="281">
        <v>50834</v>
      </c>
      <c r="G7" s="281">
        <v>1100</v>
      </c>
      <c r="H7" s="281">
        <v>228</v>
      </c>
      <c r="I7" s="281">
        <v>14335</v>
      </c>
      <c r="J7" s="79"/>
      <c r="K7" s="79"/>
      <c r="L7" s="48"/>
      <c r="M7" s="79"/>
      <c r="O7" s="79"/>
      <c r="P7" s="79" t="s">
        <v>102</v>
      </c>
      <c r="Q7" s="48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</row>
    <row r="8" spans="1:231" ht="17.5" x14ac:dyDescent="0.45">
      <c r="A8" s="18" t="s">
        <v>43</v>
      </c>
      <c r="B8" s="281">
        <v>45088</v>
      </c>
      <c r="C8" s="281">
        <v>272410.34206276084</v>
      </c>
      <c r="D8" s="281">
        <v>4030</v>
      </c>
      <c r="E8" s="281">
        <v>4651</v>
      </c>
      <c r="F8" s="281">
        <v>31039</v>
      </c>
      <c r="G8" s="281">
        <v>800</v>
      </c>
      <c r="H8" s="281">
        <v>228</v>
      </c>
      <c r="I8" s="281">
        <v>10734</v>
      </c>
      <c r="J8" s="79"/>
      <c r="K8" s="79"/>
      <c r="L8" s="48"/>
      <c r="M8" s="79"/>
      <c r="O8" s="79"/>
      <c r="P8" s="79" t="s">
        <v>102</v>
      </c>
      <c r="Q8" s="48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</row>
    <row r="9" spans="1:231" ht="17.5" x14ac:dyDescent="0.45">
      <c r="A9" s="18" t="s">
        <v>44</v>
      </c>
      <c r="B9" s="281">
        <v>51579</v>
      </c>
      <c r="C9" s="281">
        <v>338016.49844900001</v>
      </c>
      <c r="D9" s="281">
        <v>3939</v>
      </c>
      <c r="E9" s="281">
        <v>1782</v>
      </c>
      <c r="F9" s="281">
        <v>6285</v>
      </c>
      <c r="G9" s="281">
        <v>684</v>
      </c>
      <c r="H9" s="281">
        <v>228</v>
      </c>
      <c r="I9" s="281">
        <v>7148</v>
      </c>
      <c r="J9" s="79"/>
      <c r="K9" s="79"/>
      <c r="L9" s="48"/>
      <c r="M9" s="79"/>
      <c r="O9" s="79"/>
      <c r="P9" s="79" t="s">
        <v>102</v>
      </c>
      <c r="Q9" s="48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</row>
    <row r="10" spans="1:231" ht="17.5" x14ac:dyDescent="0.45">
      <c r="A10" s="18" t="s">
        <v>45</v>
      </c>
      <c r="B10" s="281">
        <v>68772</v>
      </c>
      <c r="C10" s="281">
        <v>474023.50548744347</v>
      </c>
      <c r="D10" s="281">
        <v>7773</v>
      </c>
      <c r="E10" s="281">
        <v>5889</v>
      </c>
      <c r="F10" s="281">
        <v>68576</v>
      </c>
      <c r="G10" s="281">
        <v>916</v>
      </c>
      <c r="H10" s="281">
        <v>228</v>
      </c>
      <c r="I10" s="281">
        <v>22256</v>
      </c>
      <c r="J10" s="79"/>
      <c r="K10" s="79"/>
      <c r="L10" s="48"/>
      <c r="M10" s="79"/>
      <c r="O10" s="79"/>
      <c r="P10" s="79" t="s">
        <v>102</v>
      </c>
      <c r="Q10" s="48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</row>
    <row r="11" spans="1:231" ht="17.5" x14ac:dyDescent="0.45">
      <c r="A11" s="18" t="s">
        <v>46</v>
      </c>
      <c r="B11" s="281">
        <v>55148</v>
      </c>
      <c r="C11" s="281">
        <v>357457.42925112171</v>
      </c>
      <c r="D11" s="281">
        <v>4033</v>
      </c>
      <c r="E11" s="281">
        <v>4152</v>
      </c>
      <c r="F11" s="281">
        <v>34318</v>
      </c>
      <c r="G11" s="281">
        <v>800</v>
      </c>
      <c r="H11" s="281">
        <v>228</v>
      </c>
      <c r="I11" s="281">
        <v>15346</v>
      </c>
      <c r="J11" s="79"/>
      <c r="K11" s="79"/>
      <c r="L11" s="48"/>
      <c r="M11" s="79"/>
      <c r="O11" s="79"/>
      <c r="P11" s="79" t="s">
        <v>102</v>
      </c>
      <c r="Q11" s="48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</row>
    <row r="12" spans="1:231" ht="17.5" x14ac:dyDescent="0.45">
      <c r="A12" s="18" t="s">
        <v>47</v>
      </c>
      <c r="B12" s="281">
        <v>51734</v>
      </c>
      <c r="C12" s="281">
        <v>302408.43387329567</v>
      </c>
      <c r="D12" s="281">
        <v>3718</v>
      </c>
      <c r="E12" s="281">
        <v>2291</v>
      </c>
      <c r="F12" s="281">
        <v>21718</v>
      </c>
      <c r="G12" s="281">
        <v>800</v>
      </c>
      <c r="H12" s="281">
        <v>228</v>
      </c>
      <c r="I12" s="281">
        <v>11458</v>
      </c>
      <c r="J12" s="79"/>
      <c r="K12" s="79"/>
      <c r="L12" s="48"/>
      <c r="M12" s="79"/>
      <c r="O12" s="79"/>
      <c r="P12" s="79" t="s">
        <v>102</v>
      </c>
      <c r="Q12" s="48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</row>
    <row r="13" spans="1:231" ht="17.5" x14ac:dyDescent="0.45">
      <c r="A13" s="18" t="s">
        <v>48</v>
      </c>
      <c r="B13" s="281">
        <v>56650</v>
      </c>
      <c r="C13" s="281">
        <v>357539.29480548261</v>
      </c>
      <c r="D13" s="281">
        <v>4660</v>
      </c>
      <c r="E13" s="281">
        <v>5533</v>
      </c>
      <c r="F13" s="281">
        <v>49236</v>
      </c>
      <c r="G13" s="281">
        <v>1600</v>
      </c>
      <c r="H13" s="281">
        <v>228</v>
      </c>
      <c r="I13" s="281">
        <v>14675</v>
      </c>
      <c r="J13" s="79"/>
      <c r="K13" s="79"/>
      <c r="L13" s="48"/>
      <c r="M13" s="79"/>
      <c r="O13" s="79"/>
      <c r="P13" s="79" t="s">
        <v>102</v>
      </c>
      <c r="Q13" s="48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</row>
    <row r="14" spans="1:231" ht="17.5" x14ac:dyDescent="0.45">
      <c r="A14" s="18" t="s">
        <v>49</v>
      </c>
      <c r="B14" s="281">
        <v>52723</v>
      </c>
      <c r="C14" s="281">
        <v>343279.68364242825</v>
      </c>
      <c r="D14" s="281">
        <v>2197</v>
      </c>
      <c r="E14" s="281">
        <v>3498</v>
      </c>
      <c r="F14" s="281">
        <v>35504</v>
      </c>
      <c r="G14" s="281">
        <v>800</v>
      </c>
      <c r="H14" s="281">
        <v>99</v>
      </c>
      <c r="I14" s="281">
        <v>15893</v>
      </c>
      <c r="J14" s="79"/>
      <c r="K14" s="79"/>
      <c r="L14" s="48"/>
      <c r="M14" s="79"/>
      <c r="O14" s="79"/>
      <c r="P14" s="79" t="s">
        <v>102</v>
      </c>
      <c r="Q14" s="48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</row>
    <row r="15" spans="1:231" ht="17.5" x14ac:dyDescent="0.45">
      <c r="A15" s="18" t="s">
        <v>50</v>
      </c>
      <c r="B15" s="281">
        <v>49379</v>
      </c>
      <c r="C15" s="281">
        <v>289686.85445043258</v>
      </c>
      <c r="D15" s="281">
        <v>5311</v>
      </c>
      <c r="E15" s="281">
        <v>3524</v>
      </c>
      <c r="F15" s="281">
        <v>30778</v>
      </c>
      <c r="G15" s="281">
        <v>800</v>
      </c>
      <c r="H15" s="281">
        <v>252</v>
      </c>
      <c r="I15" s="281">
        <v>9474</v>
      </c>
      <c r="J15" s="79"/>
      <c r="K15" s="79"/>
      <c r="L15" s="48"/>
      <c r="M15" s="79"/>
      <c r="O15" s="79"/>
      <c r="P15" s="79" t="s">
        <v>102</v>
      </c>
      <c r="Q15" s="48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</row>
    <row r="16" spans="1:231" ht="17.5" x14ac:dyDescent="0.45">
      <c r="A16" s="18" t="s">
        <v>51</v>
      </c>
      <c r="B16" s="281">
        <v>25361</v>
      </c>
      <c r="C16" s="281">
        <v>186370.03182081305</v>
      </c>
      <c r="D16" s="281">
        <v>4779</v>
      </c>
      <c r="E16" s="281">
        <v>3462</v>
      </c>
      <c r="F16" s="281">
        <v>21680</v>
      </c>
      <c r="G16" s="281">
        <v>400</v>
      </c>
      <c r="H16" s="281">
        <v>100</v>
      </c>
      <c r="I16" s="281">
        <v>11922</v>
      </c>
      <c r="J16" s="79"/>
      <c r="K16" s="79"/>
      <c r="L16" s="48"/>
      <c r="M16" s="79"/>
      <c r="O16" s="79"/>
      <c r="P16" s="79" t="s">
        <v>102</v>
      </c>
      <c r="Q16" s="48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</row>
    <row r="17" spans="1:231" ht="17.5" x14ac:dyDescent="0.45">
      <c r="A17" s="18" t="s">
        <v>52</v>
      </c>
      <c r="B17" s="281">
        <v>12071</v>
      </c>
      <c r="C17" s="281">
        <v>97693.793446754353</v>
      </c>
      <c r="D17" s="281">
        <v>1471</v>
      </c>
      <c r="E17" s="281">
        <v>559</v>
      </c>
      <c r="F17" s="281">
        <v>8808</v>
      </c>
      <c r="G17" s="281">
        <v>200</v>
      </c>
      <c r="H17" s="281">
        <v>95</v>
      </c>
      <c r="I17" s="281">
        <v>2829</v>
      </c>
      <c r="J17" s="79"/>
      <c r="K17" s="79"/>
      <c r="L17" s="48"/>
      <c r="M17" s="79"/>
      <c r="O17" s="79"/>
      <c r="P17" s="79" t="s">
        <v>102</v>
      </c>
      <c r="Q17" s="48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</row>
    <row r="18" spans="1:231" ht="17.5" x14ac:dyDescent="0.45">
      <c r="A18" s="18" t="s">
        <v>53</v>
      </c>
      <c r="B18" s="281">
        <v>13400</v>
      </c>
      <c r="C18" s="281">
        <v>85910.45314776522</v>
      </c>
      <c r="D18" s="281">
        <v>1198</v>
      </c>
      <c r="E18" s="281">
        <v>1472</v>
      </c>
      <c r="F18" s="281">
        <v>9201</v>
      </c>
      <c r="G18" s="281">
        <v>200</v>
      </c>
      <c r="H18" s="281">
        <v>57</v>
      </c>
      <c r="I18" s="281">
        <v>3450</v>
      </c>
      <c r="J18" s="79"/>
      <c r="K18" s="79"/>
      <c r="L18" s="48"/>
      <c r="M18" s="79"/>
      <c r="O18" s="79"/>
      <c r="P18" s="79" t="s">
        <v>102</v>
      </c>
      <c r="Q18" s="48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</row>
    <row r="19" spans="1:231" ht="17.5" x14ac:dyDescent="0.45">
      <c r="A19" s="18" t="s">
        <v>54</v>
      </c>
      <c r="B19" s="281">
        <v>24898</v>
      </c>
      <c r="C19" s="281">
        <v>134070.24925790218</v>
      </c>
      <c r="D19" s="281">
        <v>3731</v>
      </c>
      <c r="E19" s="281">
        <v>1314</v>
      </c>
      <c r="F19" s="281">
        <v>17309</v>
      </c>
      <c r="G19" s="281">
        <v>400</v>
      </c>
      <c r="H19" s="281">
        <v>12</v>
      </c>
      <c r="I19" s="281">
        <v>6875</v>
      </c>
      <c r="J19" s="79"/>
      <c r="K19" s="79"/>
      <c r="L19" s="48"/>
      <c r="M19" s="79"/>
      <c r="O19" s="79"/>
      <c r="P19" s="79" t="s">
        <v>102</v>
      </c>
      <c r="Q19" s="48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</row>
    <row r="20" spans="1:231" ht="17.5" x14ac:dyDescent="0.45">
      <c r="A20" s="18" t="s">
        <v>55</v>
      </c>
      <c r="B20" s="281">
        <v>29905</v>
      </c>
      <c r="C20" s="281">
        <v>147142.88188753478</v>
      </c>
      <c r="D20" s="281">
        <v>2745</v>
      </c>
      <c r="E20" s="281">
        <v>2021</v>
      </c>
      <c r="F20" s="281">
        <v>14807</v>
      </c>
      <c r="G20" s="281">
        <v>333</v>
      </c>
      <c r="H20" s="281">
        <v>230</v>
      </c>
      <c r="I20" s="281">
        <v>5893</v>
      </c>
      <c r="J20" s="79"/>
      <c r="K20" s="79"/>
      <c r="L20" s="48"/>
      <c r="M20" s="79"/>
      <c r="O20" s="79"/>
      <c r="P20" s="79" t="s">
        <v>102</v>
      </c>
      <c r="Q20" s="48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</row>
    <row r="21" spans="1:231" ht="17.5" x14ac:dyDescent="0.45">
      <c r="A21" s="18" t="s">
        <v>56</v>
      </c>
      <c r="B21" s="281">
        <v>25000</v>
      </c>
      <c r="C21" s="281">
        <v>199390.59634419566</v>
      </c>
      <c r="D21" s="281">
        <v>62</v>
      </c>
      <c r="E21" s="281">
        <v>2458</v>
      </c>
      <c r="F21" s="281">
        <v>8658</v>
      </c>
      <c r="G21" s="281">
        <v>635</v>
      </c>
      <c r="H21" s="283">
        <v>0</v>
      </c>
      <c r="I21" s="281">
        <v>6009</v>
      </c>
      <c r="J21" s="79"/>
      <c r="K21" s="79"/>
      <c r="L21" s="48"/>
      <c r="M21" s="79"/>
      <c r="O21" s="79"/>
      <c r="P21" s="79" t="s">
        <v>102</v>
      </c>
      <c r="Q21" s="48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</row>
    <row r="22" spans="1:231" ht="17.5" x14ac:dyDescent="0.45">
      <c r="A22" s="18" t="s">
        <v>57</v>
      </c>
      <c r="B22" s="281">
        <v>39811</v>
      </c>
      <c r="C22" s="281">
        <v>203444.80424833045</v>
      </c>
      <c r="D22" s="281">
        <v>1768</v>
      </c>
      <c r="E22" s="281">
        <v>6795</v>
      </c>
      <c r="F22" s="281">
        <v>46806</v>
      </c>
      <c r="G22" s="281">
        <v>1090</v>
      </c>
      <c r="H22" s="281">
        <v>32</v>
      </c>
      <c r="I22" s="281">
        <v>15205</v>
      </c>
      <c r="J22" s="48"/>
      <c r="K22" s="48"/>
      <c r="L22" s="48"/>
      <c r="M22" s="79"/>
      <c r="O22" s="79"/>
      <c r="P22" s="79" t="s">
        <v>102</v>
      </c>
      <c r="Q22" s="48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</row>
    <row r="23" spans="1:231" ht="17.5" x14ac:dyDescent="0.45">
      <c r="A23" s="18" t="s">
        <v>58</v>
      </c>
      <c r="B23" s="281">
        <v>48599</v>
      </c>
      <c r="C23" s="281">
        <v>230827.71857969783</v>
      </c>
      <c r="D23" s="281">
        <v>2080</v>
      </c>
      <c r="E23" s="281">
        <v>3144</v>
      </c>
      <c r="F23" s="281">
        <v>31995</v>
      </c>
      <c r="G23" s="281">
        <v>400</v>
      </c>
      <c r="H23" s="281">
        <v>30</v>
      </c>
      <c r="I23" s="281">
        <v>10515</v>
      </c>
      <c r="J23" s="79"/>
      <c r="K23" s="79"/>
      <c r="L23" s="48"/>
      <c r="M23" s="79"/>
      <c r="O23" s="79"/>
      <c r="P23" s="79" t="s">
        <v>102</v>
      </c>
      <c r="Q23" s="48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</row>
    <row r="24" spans="1:231" ht="17.5" x14ac:dyDescent="0.45">
      <c r="A24" s="18" t="s">
        <v>59</v>
      </c>
      <c r="B24" s="281">
        <v>29300</v>
      </c>
      <c r="C24" s="281">
        <v>161415.39912407825</v>
      </c>
      <c r="D24" s="281">
        <v>2416</v>
      </c>
      <c r="E24" s="281">
        <v>2316</v>
      </c>
      <c r="F24" s="281">
        <v>11628</v>
      </c>
      <c r="G24" s="281">
        <v>800</v>
      </c>
      <c r="H24" s="281">
        <v>175</v>
      </c>
      <c r="I24" s="281">
        <v>8912</v>
      </c>
      <c r="J24" s="79"/>
      <c r="K24" s="79"/>
      <c r="L24" s="48"/>
      <c r="M24" s="79"/>
      <c r="O24" s="79"/>
      <c r="P24" s="79" t="s">
        <v>102</v>
      </c>
      <c r="Q24" s="48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</row>
    <row r="25" spans="1:231" ht="17.5" x14ac:dyDescent="0.45">
      <c r="A25" s="18" t="s">
        <v>111</v>
      </c>
      <c r="B25" s="281">
        <v>30484</v>
      </c>
      <c r="C25" s="281">
        <v>183682.52425085474</v>
      </c>
      <c r="D25" s="281">
        <v>1120</v>
      </c>
      <c r="E25" s="281">
        <v>3840</v>
      </c>
      <c r="F25" s="281">
        <v>35262</v>
      </c>
      <c r="G25" s="283">
        <v>0</v>
      </c>
      <c r="H25" s="281">
        <v>14</v>
      </c>
      <c r="I25" s="281">
        <v>4131</v>
      </c>
      <c r="J25" s="79"/>
      <c r="K25" s="79"/>
      <c r="L25" s="48"/>
      <c r="M25" s="79"/>
      <c r="O25" s="79"/>
      <c r="P25" s="79"/>
      <c r="Q25" s="48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</row>
    <row r="26" spans="1:231" ht="17.5" x14ac:dyDescent="0.45">
      <c r="A26" s="18" t="s">
        <v>60</v>
      </c>
      <c r="B26" s="281">
        <v>27763</v>
      </c>
      <c r="C26" s="281">
        <v>145667.00655310869</v>
      </c>
      <c r="D26" s="281">
        <v>1352</v>
      </c>
      <c r="E26" s="281">
        <v>3179</v>
      </c>
      <c r="F26" s="281">
        <v>23542</v>
      </c>
      <c r="G26" s="281">
        <v>1080</v>
      </c>
      <c r="H26" s="281">
        <v>250</v>
      </c>
      <c r="I26" s="281">
        <v>11334</v>
      </c>
      <c r="J26" s="79"/>
      <c r="K26" s="79"/>
      <c r="L26" s="48"/>
      <c r="M26" s="79"/>
      <c r="O26" s="79"/>
      <c r="P26" s="79" t="s">
        <v>102</v>
      </c>
      <c r="Q26" s="48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</row>
    <row r="27" spans="1:231" ht="17.5" x14ac:dyDescent="0.45">
      <c r="A27" s="25" t="s">
        <v>61</v>
      </c>
      <c r="B27" s="281">
        <v>28133</v>
      </c>
      <c r="C27" s="281">
        <v>164535.96145847609</v>
      </c>
      <c r="D27" s="281">
        <v>1014</v>
      </c>
      <c r="E27" s="281">
        <v>2209</v>
      </c>
      <c r="F27" s="281">
        <v>16318</v>
      </c>
      <c r="G27" s="281">
        <v>360</v>
      </c>
      <c r="H27" s="281">
        <v>44</v>
      </c>
      <c r="I27" s="281">
        <v>9331</v>
      </c>
      <c r="J27" s="79"/>
      <c r="K27" s="79"/>
      <c r="L27" s="48"/>
      <c r="M27" s="79"/>
      <c r="O27" s="79"/>
      <c r="P27" s="79" t="s">
        <v>102</v>
      </c>
      <c r="Q27" s="48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</row>
    <row r="28" spans="1:231" ht="17.5" x14ac:dyDescent="0.45">
      <c r="A28" s="25" t="s">
        <v>62</v>
      </c>
      <c r="B28" s="281">
        <v>37520</v>
      </c>
      <c r="C28" s="281">
        <v>182927.31458243696</v>
      </c>
      <c r="D28" s="281">
        <v>1435</v>
      </c>
      <c r="E28" s="281">
        <v>1884</v>
      </c>
      <c r="F28" s="281">
        <v>23503</v>
      </c>
      <c r="G28" s="281">
        <v>622</v>
      </c>
      <c r="H28" s="281">
        <v>236</v>
      </c>
      <c r="I28" s="281">
        <v>8591</v>
      </c>
      <c r="J28" s="79"/>
      <c r="K28" s="79"/>
      <c r="L28" s="48"/>
      <c r="M28" s="79"/>
      <c r="O28" s="79"/>
      <c r="P28" s="79" t="s">
        <v>102</v>
      </c>
      <c r="Q28" s="48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</row>
    <row r="29" spans="1:231" ht="17.5" x14ac:dyDescent="0.45">
      <c r="A29" s="25" t="s">
        <v>63</v>
      </c>
      <c r="B29" s="281">
        <v>38351</v>
      </c>
      <c r="C29" s="281">
        <v>208543.46805110475</v>
      </c>
      <c r="D29" s="281">
        <v>1664</v>
      </c>
      <c r="E29" s="281">
        <v>4303</v>
      </c>
      <c r="F29" s="281">
        <v>28646</v>
      </c>
      <c r="G29" s="281">
        <v>600</v>
      </c>
      <c r="H29" s="283">
        <v>0</v>
      </c>
      <c r="I29" s="281">
        <v>11774</v>
      </c>
      <c r="J29" s="79"/>
      <c r="K29" s="79"/>
      <c r="L29" s="48"/>
      <c r="M29" s="79"/>
      <c r="O29" s="79"/>
      <c r="P29" s="79" t="s">
        <v>102</v>
      </c>
      <c r="Q29" s="48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</row>
    <row r="30" spans="1:231" ht="17.5" x14ac:dyDescent="0.45">
      <c r="A30" s="25" t="s">
        <v>64</v>
      </c>
      <c r="B30" s="281">
        <v>35812</v>
      </c>
      <c r="C30" s="281">
        <v>228511.23913043478</v>
      </c>
      <c r="D30" s="281">
        <v>1352</v>
      </c>
      <c r="E30" s="281">
        <v>2413</v>
      </c>
      <c r="F30" s="281">
        <v>25626</v>
      </c>
      <c r="G30" s="281">
        <v>520</v>
      </c>
      <c r="H30" s="281">
        <v>329</v>
      </c>
      <c r="I30" s="281">
        <v>9654</v>
      </c>
      <c r="J30" s="79"/>
      <c r="K30" s="79"/>
      <c r="L30" s="48"/>
      <c r="M30" s="79"/>
      <c r="O30" s="79"/>
      <c r="P30" s="79" t="s">
        <v>102</v>
      </c>
      <c r="Q30" s="48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</row>
    <row r="31" spans="1:231" ht="17.5" x14ac:dyDescent="0.45">
      <c r="A31" s="64" t="s">
        <v>65</v>
      </c>
      <c r="B31" s="281">
        <v>30928</v>
      </c>
      <c r="C31" s="281">
        <v>180079.23913043478</v>
      </c>
      <c r="D31" s="281">
        <v>1076</v>
      </c>
      <c r="E31" s="281">
        <v>2331</v>
      </c>
      <c r="F31" s="281">
        <v>29148</v>
      </c>
      <c r="G31" s="281">
        <v>40</v>
      </c>
      <c r="H31" s="281">
        <v>35</v>
      </c>
      <c r="I31" s="281">
        <v>2184</v>
      </c>
      <c r="J31" s="79"/>
      <c r="K31" s="79"/>
      <c r="L31" s="48"/>
      <c r="M31" s="79"/>
      <c r="O31" s="79"/>
      <c r="P31" s="79" t="s">
        <v>102</v>
      </c>
      <c r="Q31" s="48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</row>
    <row r="32" spans="1:231" ht="17.5" x14ac:dyDescent="0.45">
      <c r="A32" s="64" t="s">
        <v>66</v>
      </c>
      <c r="B32" s="281">
        <v>37327</v>
      </c>
      <c r="C32" s="281">
        <v>181996.5</v>
      </c>
      <c r="D32" s="281">
        <v>2238</v>
      </c>
      <c r="E32" s="281">
        <v>2144</v>
      </c>
      <c r="F32" s="281">
        <v>24153</v>
      </c>
      <c r="G32" s="283">
        <v>0</v>
      </c>
      <c r="H32" s="281">
        <v>156</v>
      </c>
      <c r="I32" s="281">
        <v>1957</v>
      </c>
      <c r="J32" s="79"/>
      <c r="K32" s="79"/>
      <c r="L32" s="48"/>
      <c r="M32" s="79"/>
      <c r="O32" s="79"/>
      <c r="P32" s="79" t="s">
        <v>102</v>
      </c>
      <c r="Q32" s="48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</row>
    <row r="33" spans="1:231" ht="17.5" x14ac:dyDescent="0.45">
      <c r="A33" s="18" t="s">
        <v>67</v>
      </c>
      <c r="B33" s="281">
        <v>30598</v>
      </c>
      <c r="C33" s="281">
        <v>175805</v>
      </c>
      <c r="D33" s="288">
        <v>1920</v>
      </c>
      <c r="E33" s="288">
        <v>1890</v>
      </c>
      <c r="F33" s="288">
        <v>20550</v>
      </c>
      <c r="G33" s="288">
        <v>542</v>
      </c>
      <c r="H33" s="288">
        <v>66</v>
      </c>
      <c r="I33" s="288">
        <v>5985</v>
      </c>
      <c r="J33" s="79"/>
      <c r="K33" s="79"/>
      <c r="L33" s="48"/>
      <c r="M33" s="79"/>
      <c r="O33" s="79"/>
      <c r="P33" s="79" t="s">
        <v>102</v>
      </c>
      <c r="Q33" s="48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</row>
    <row r="34" spans="1:231" ht="17.5" x14ac:dyDescent="0.45">
      <c r="A34" s="18" t="s">
        <v>68</v>
      </c>
      <c r="B34" s="281">
        <v>17764</v>
      </c>
      <c r="C34" s="281">
        <v>94426.739130434784</v>
      </c>
      <c r="D34" s="283">
        <v>0</v>
      </c>
      <c r="E34" s="281">
        <v>1004</v>
      </c>
      <c r="F34" s="281">
        <v>6440</v>
      </c>
      <c r="G34" s="281">
        <v>320</v>
      </c>
      <c r="H34" s="281">
        <v>173</v>
      </c>
      <c r="I34" s="281">
        <v>5582</v>
      </c>
      <c r="J34" s="79"/>
      <c r="K34" s="79"/>
      <c r="L34" s="48"/>
      <c r="M34" s="79"/>
      <c r="O34" s="79"/>
      <c r="P34" s="79" t="s">
        <v>102</v>
      </c>
      <c r="Q34" s="48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</row>
    <row r="35" spans="1:231" ht="17.5" x14ac:dyDescent="0.45">
      <c r="A35" s="18" t="s">
        <v>69</v>
      </c>
      <c r="B35" s="281">
        <v>4123</v>
      </c>
      <c r="C35" s="281">
        <v>55540.260869565216</v>
      </c>
      <c r="D35" s="281">
        <v>1040</v>
      </c>
      <c r="E35" s="281">
        <v>1312</v>
      </c>
      <c r="F35" s="281">
        <v>9159</v>
      </c>
      <c r="G35" s="281">
        <v>80</v>
      </c>
      <c r="H35" s="281">
        <v>52</v>
      </c>
      <c r="I35" s="281">
        <v>2818</v>
      </c>
      <c r="J35" s="79"/>
      <c r="K35" s="79"/>
      <c r="L35" s="48"/>
      <c r="M35" s="79"/>
      <c r="O35" s="79"/>
      <c r="P35" s="79" t="s">
        <v>102</v>
      </c>
      <c r="Q35" s="48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</row>
    <row r="36" spans="1:231" ht="17.5" x14ac:dyDescent="0.45">
      <c r="A36" s="25" t="s">
        <v>70</v>
      </c>
      <c r="B36" s="281">
        <v>14079</v>
      </c>
      <c r="C36" s="281">
        <v>66832.15217391304</v>
      </c>
      <c r="D36" s="281">
        <v>798</v>
      </c>
      <c r="E36" s="281">
        <v>204</v>
      </c>
      <c r="F36" s="281">
        <v>15337</v>
      </c>
      <c r="G36" s="281">
        <v>360</v>
      </c>
      <c r="H36" s="281">
        <v>88</v>
      </c>
      <c r="I36" s="281">
        <v>6209</v>
      </c>
      <c r="J36" s="79"/>
      <c r="K36" s="79"/>
      <c r="L36" s="48"/>
      <c r="M36" s="79"/>
      <c r="O36" s="79"/>
      <c r="P36" s="79" t="s">
        <v>102</v>
      </c>
      <c r="Q36" s="48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</row>
    <row r="37" spans="1:231" ht="17.5" x14ac:dyDescent="0.45">
      <c r="A37" s="18" t="s">
        <v>71</v>
      </c>
      <c r="B37" s="281">
        <v>16611</v>
      </c>
      <c r="C37" s="281">
        <v>152648.82608695651</v>
      </c>
      <c r="D37" s="281">
        <v>1527</v>
      </c>
      <c r="E37" s="281">
        <v>-94</v>
      </c>
      <c r="F37" s="281">
        <v>14774</v>
      </c>
      <c r="G37" s="281">
        <v>640</v>
      </c>
      <c r="H37" s="281">
        <v>17</v>
      </c>
      <c r="I37" s="281">
        <v>5550</v>
      </c>
      <c r="J37" s="79"/>
      <c r="K37" s="79"/>
      <c r="L37" s="48"/>
      <c r="M37" s="79"/>
      <c r="O37" s="79"/>
      <c r="P37" s="79" t="s">
        <v>102</v>
      </c>
      <c r="Q37" s="48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</row>
    <row r="38" spans="1:231" ht="17.5" x14ac:dyDescent="0.45">
      <c r="A38" s="18" t="s">
        <v>72</v>
      </c>
      <c r="B38" s="281">
        <v>14493</v>
      </c>
      <c r="C38" s="281">
        <v>128284</v>
      </c>
      <c r="D38" s="281">
        <v>1107</v>
      </c>
      <c r="E38" s="281">
        <v>400</v>
      </c>
      <c r="F38" s="281">
        <v>19562</v>
      </c>
      <c r="G38" s="281">
        <v>320</v>
      </c>
      <c r="H38" s="281">
        <v>130</v>
      </c>
      <c r="I38" s="281">
        <v>5507</v>
      </c>
      <c r="J38" s="79"/>
      <c r="K38" s="79"/>
      <c r="L38" s="48"/>
      <c r="M38" s="79"/>
      <c r="O38" s="79"/>
      <c r="P38" s="79" t="s">
        <v>102</v>
      </c>
      <c r="Q38" s="48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</row>
    <row r="39" spans="1:231" ht="17.5" x14ac:dyDescent="0.45">
      <c r="A39" s="18" t="s">
        <v>73</v>
      </c>
      <c r="B39" s="281">
        <v>9515</v>
      </c>
      <c r="C39" s="281">
        <v>52938.5</v>
      </c>
      <c r="D39" s="281">
        <v>228</v>
      </c>
      <c r="E39" s="281">
        <v>2000</v>
      </c>
      <c r="F39" s="281">
        <v>7993</v>
      </c>
      <c r="G39" s="281">
        <v>160</v>
      </c>
      <c r="H39" s="281">
        <v>23</v>
      </c>
      <c r="I39" s="281">
        <v>5716</v>
      </c>
      <c r="J39" s="79"/>
      <c r="K39" s="79"/>
      <c r="L39" s="48"/>
      <c r="M39" s="79"/>
      <c r="O39" s="79"/>
      <c r="P39" s="79" t="s">
        <v>102</v>
      </c>
      <c r="Q39" s="48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</row>
    <row r="40" spans="1:231" ht="17.5" x14ac:dyDescent="0.45">
      <c r="A40" s="18" t="s">
        <v>74</v>
      </c>
      <c r="B40" s="281">
        <v>1255</v>
      </c>
      <c r="C40" s="281">
        <v>13698</v>
      </c>
      <c r="D40" s="281">
        <v>-228</v>
      </c>
      <c r="E40" s="283">
        <v>0</v>
      </c>
      <c r="F40" s="281">
        <v>525</v>
      </c>
      <c r="G40" s="283">
        <v>0</v>
      </c>
      <c r="H40" s="281">
        <v>28</v>
      </c>
      <c r="I40" s="281">
        <v>-512</v>
      </c>
      <c r="J40" s="79"/>
      <c r="K40" s="79"/>
      <c r="L40" s="48"/>
      <c r="M40" s="79"/>
      <c r="O40" s="79"/>
      <c r="P40" s="79" t="s">
        <v>102</v>
      </c>
      <c r="Q40" s="48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</row>
    <row r="41" spans="1:231" ht="17.5" x14ac:dyDescent="0.45">
      <c r="A41" s="18" t="s">
        <v>75</v>
      </c>
      <c r="B41" s="281">
        <v>7320</v>
      </c>
      <c r="C41" s="281">
        <v>14086</v>
      </c>
      <c r="D41" s="281">
        <v>377</v>
      </c>
      <c r="E41" s="283">
        <v>0</v>
      </c>
      <c r="F41" s="281">
        <v>1234</v>
      </c>
      <c r="G41" s="283">
        <v>0</v>
      </c>
      <c r="H41" s="283">
        <v>0</v>
      </c>
      <c r="I41" s="281">
        <v>32</v>
      </c>
      <c r="J41" s="79"/>
      <c r="K41" s="79"/>
      <c r="L41" s="48"/>
      <c r="M41" s="79"/>
      <c r="O41" s="79"/>
      <c r="P41" s="79" t="s">
        <v>102</v>
      </c>
      <c r="Q41" s="48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</row>
    <row r="42" spans="1:231" ht="17.5" x14ac:dyDescent="0.45">
      <c r="A42" s="18" t="s">
        <v>76</v>
      </c>
      <c r="B42" s="281">
        <v>71</v>
      </c>
      <c r="C42" s="281">
        <v>9645</v>
      </c>
      <c r="D42" s="283">
        <v>0</v>
      </c>
      <c r="E42" s="283">
        <v>0</v>
      </c>
      <c r="F42" s="281">
        <v>1016</v>
      </c>
      <c r="G42" s="283">
        <v>0</v>
      </c>
      <c r="H42" s="283">
        <v>0</v>
      </c>
      <c r="I42" s="281">
        <v>690</v>
      </c>
      <c r="J42" s="79"/>
      <c r="K42" s="79"/>
      <c r="L42" s="48"/>
      <c r="M42" s="79"/>
      <c r="O42" s="79"/>
      <c r="P42" s="79" t="s">
        <v>102</v>
      </c>
      <c r="Q42" s="48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</row>
    <row r="43" spans="1:231" ht="17.5" x14ac:dyDescent="0.45">
      <c r="A43" s="18" t="s">
        <v>77</v>
      </c>
      <c r="B43" s="281">
        <v>22</v>
      </c>
      <c r="C43" s="281">
        <v>62630</v>
      </c>
      <c r="D43" s="281">
        <v>1540</v>
      </c>
      <c r="E43" s="281">
        <v>2358</v>
      </c>
      <c r="F43" s="281">
        <v>5816</v>
      </c>
      <c r="G43" s="283">
        <v>0</v>
      </c>
      <c r="H43" s="283">
        <v>0</v>
      </c>
      <c r="I43" s="281">
        <v>1533</v>
      </c>
      <c r="J43" s="79"/>
      <c r="K43" s="79"/>
      <c r="L43" s="48"/>
      <c r="M43" s="79"/>
      <c r="O43" s="79"/>
      <c r="P43" s="79" t="s">
        <v>102</v>
      </c>
      <c r="Q43" s="48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</row>
    <row r="44" spans="1:231" ht="17.5" x14ac:dyDescent="0.45">
      <c r="A44" s="18" t="s">
        <v>78</v>
      </c>
      <c r="B44" s="281">
        <v>6188</v>
      </c>
      <c r="C44" s="281">
        <v>161923</v>
      </c>
      <c r="D44" s="281">
        <v>1357</v>
      </c>
      <c r="E44" s="281">
        <v>3642</v>
      </c>
      <c r="F44" s="281">
        <v>39634</v>
      </c>
      <c r="G44" s="284">
        <v>400</v>
      </c>
      <c r="H44" s="284">
        <v>40</v>
      </c>
      <c r="I44" s="281">
        <v>6649</v>
      </c>
      <c r="J44" s="79"/>
      <c r="K44" s="79"/>
      <c r="L44" s="48"/>
      <c r="M44" s="79"/>
      <c r="O44" s="79"/>
      <c r="P44" s="79" t="s">
        <v>102</v>
      </c>
      <c r="Q44" s="48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</row>
    <row r="45" spans="1:231" ht="17.5" x14ac:dyDescent="0.45">
      <c r="A45" s="18" t="s">
        <v>79</v>
      </c>
      <c r="B45" s="281">
        <v>30876</v>
      </c>
      <c r="C45" s="281">
        <v>147550</v>
      </c>
      <c r="D45" s="281">
        <v>822</v>
      </c>
      <c r="E45" s="281">
        <v>2103</v>
      </c>
      <c r="F45" s="281">
        <v>23877</v>
      </c>
      <c r="G45" s="284">
        <v>600</v>
      </c>
      <c r="H45" s="284">
        <v>66</v>
      </c>
      <c r="I45" s="281">
        <v>10684</v>
      </c>
      <c r="J45" s="79"/>
      <c r="K45" s="79"/>
      <c r="L45" s="48"/>
      <c r="M45" s="79"/>
      <c r="O45" s="79"/>
      <c r="P45" s="79" t="s">
        <v>102</v>
      </c>
      <c r="Q45" s="48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</row>
    <row r="46" spans="1:231" ht="17.5" x14ac:dyDescent="0.45">
      <c r="A46" s="18" t="s">
        <v>80</v>
      </c>
      <c r="B46" s="281">
        <v>22515</v>
      </c>
      <c r="C46" s="281">
        <v>108211</v>
      </c>
      <c r="D46" s="281">
        <v>398</v>
      </c>
      <c r="E46" s="281">
        <v>897</v>
      </c>
      <c r="F46" s="281">
        <v>9042</v>
      </c>
      <c r="G46" s="284">
        <v>160</v>
      </c>
      <c r="H46" s="284">
        <v>217</v>
      </c>
      <c r="I46" s="281">
        <v>4120</v>
      </c>
      <c r="J46" s="79"/>
      <c r="K46" s="79"/>
      <c r="L46" s="48"/>
      <c r="M46" s="79"/>
      <c r="O46" s="79"/>
      <c r="P46" s="79" t="s">
        <v>102</v>
      </c>
      <c r="Q46" s="48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</row>
    <row r="47" spans="1:231" ht="17.5" x14ac:dyDescent="0.45">
      <c r="A47" s="18" t="s">
        <v>81</v>
      </c>
      <c r="B47" s="281">
        <v>4778</v>
      </c>
      <c r="C47" s="281">
        <v>36800</v>
      </c>
      <c r="D47" s="281">
        <v>0</v>
      </c>
      <c r="E47" s="281">
        <v>255</v>
      </c>
      <c r="F47" s="281">
        <v>2420</v>
      </c>
      <c r="G47" s="284">
        <v>0</v>
      </c>
      <c r="H47" s="284">
        <v>0</v>
      </c>
      <c r="I47" s="281">
        <v>0</v>
      </c>
      <c r="J47" s="79"/>
      <c r="K47" s="79"/>
      <c r="L47" s="48"/>
      <c r="M47" s="79"/>
      <c r="O47" s="79"/>
      <c r="P47" s="79" t="s">
        <v>102</v>
      </c>
      <c r="Q47" s="48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</row>
    <row r="48" spans="1:231" ht="17.5" x14ac:dyDescent="0.45">
      <c r="A48" s="18" t="s">
        <v>82</v>
      </c>
      <c r="B48" s="281">
        <v>10252.857142857143</v>
      </c>
      <c r="C48" s="281">
        <v>77406.42857142858</v>
      </c>
      <c r="D48" s="281">
        <v>642</v>
      </c>
      <c r="E48" s="281">
        <v>1322.1428571428571</v>
      </c>
      <c r="F48" s="281">
        <v>11862.714285714286</v>
      </c>
      <c r="G48" s="281">
        <v>165.71428571428572</v>
      </c>
      <c r="H48" s="281">
        <v>46.142857142857146</v>
      </c>
      <c r="I48" s="281">
        <v>3386.8571428571427</v>
      </c>
      <c r="J48" s="79"/>
      <c r="K48" s="79"/>
      <c r="L48" s="48"/>
      <c r="M48" s="79"/>
      <c r="O48" s="79"/>
      <c r="P48" s="79" t="s">
        <v>102</v>
      </c>
      <c r="Q48" s="48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</row>
    <row r="49" spans="1:231" ht="17.5" x14ac:dyDescent="0.45">
      <c r="A49" s="18" t="s">
        <v>83</v>
      </c>
      <c r="B49" s="281">
        <v>10252.857142857143</v>
      </c>
      <c r="C49" s="281">
        <v>77406.42857142858</v>
      </c>
      <c r="D49" s="281">
        <v>642</v>
      </c>
      <c r="E49" s="281">
        <v>1322.1428571428571</v>
      </c>
      <c r="F49" s="281">
        <v>11862.714285714286</v>
      </c>
      <c r="G49" s="281">
        <v>165.71428571428572</v>
      </c>
      <c r="H49" s="281">
        <v>46.142857142857146</v>
      </c>
      <c r="I49" s="281">
        <v>3386.8571428571427</v>
      </c>
      <c r="J49" s="79"/>
      <c r="K49" s="79"/>
      <c r="L49" s="48"/>
      <c r="M49" s="79"/>
      <c r="O49" s="79"/>
      <c r="P49" s="79" t="s">
        <v>102</v>
      </c>
      <c r="Q49" s="48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</row>
    <row r="50" spans="1:231" ht="17.5" x14ac:dyDescent="0.45">
      <c r="A50" s="18" t="s">
        <v>84</v>
      </c>
      <c r="B50" s="281">
        <v>10252.857142857143</v>
      </c>
      <c r="C50" s="281">
        <v>77406.42857142858</v>
      </c>
      <c r="D50" s="281">
        <v>642</v>
      </c>
      <c r="E50" s="281">
        <v>1322.1428571428571</v>
      </c>
      <c r="F50" s="281">
        <v>11862.714285714286</v>
      </c>
      <c r="G50" s="281">
        <v>165.71428571428572</v>
      </c>
      <c r="H50" s="281">
        <v>46.142857142857146</v>
      </c>
      <c r="I50" s="281">
        <v>3386.8571428571427</v>
      </c>
      <c r="J50" s="79"/>
      <c r="K50" s="79"/>
      <c r="L50" s="48"/>
      <c r="M50" s="79"/>
      <c r="O50" s="79"/>
      <c r="P50" s="79" t="s">
        <v>102</v>
      </c>
      <c r="Q50" s="48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</row>
    <row r="51" spans="1:231" ht="17.5" x14ac:dyDescent="0.45">
      <c r="A51" s="18" t="s">
        <v>85</v>
      </c>
      <c r="B51" s="281">
        <v>10252.857142857143</v>
      </c>
      <c r="C51" s="281">
        <v>77406.42857142858</v>
      </c>
      <c r="D51" s="281">
        <v>642</v>
      </c>
      <c r="E51" s="281">
        <v>1322.1428571428571</v>
      </c>
      <c r="F51" s="281">
        <v>11862.714285714286</v>
      </c>
      <c r="G51" s="281">
        <v>165.71428571428572</v>
      </c>
      <c r="H51" s="281">
        <v>46.142857142857146</v>
      </c>
      <c r="I51" s="281">
        <v>3386.8571428571427</v>
      </c>
      <c r="J51" s="79"/>
      <c r="K51" s="79"/>
      <c r="L51" s="48"/>
      <c r="M51" s="79"/>
      <c r="O51" s="79"/>
      <c r="P51" s="79" t="s">
        <v>102</v>
      </c>
      <c r="Q51" s="48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</row>
    <row r="52" spans="1:231" ht="17.5" x14ac:dyDescent="0.45">
      <c r="A52" s="18" t="s">
        <v>86</v>
      </c>
      <c r="B52" s="281">
        <v>10252.857142857143</v>
      </c>
      <c r="C52" s="281">
        <v>77406.42857142858</v>
      </c>
      <c r="D52" s="281">
        <v>642</v>
      </c>
      <c r="E52" s="281">
        <v>1322.1428571428571</v>
      </c>
      <c r="F52" s="281">
        <v>11862.714285714286</v>
      </c>
      <c r="G52" s="281">
        <v>165.71428571428572</v>
      </c>
      <c r="H52" s="281">
        <v>46.142857142857146</v>
      </c>
      <c r="I52" s="281">
        <v>3386.8571428571427</v>
      </c>
      <c r="J52" s="79"/>
      <c r="K52" s="79"/>
      <c r="L52" s="48"/>
      <c r="M52" s="79"/>
      <c r="O52" s="79"/>
      <c r="P52" s="79" t="s">
        <v>102</v>
      </c>
      <c r="Q52" s="48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</row>
    <row r="53" spans="1:231" ht="17.5" x14ac:dyDescent="0.45">
      <c r="A53" s="18" t="s">
        <v>87</v>
      </c>
      <c r="B53" s="281">
        <v>10252.857142857143</v>
      </c>
      <c r="C53" s="281">
        <v>77406.42857142858</v>
      </c>
      <c r="D53" s="281">
        <v>642</v>
      </c>
      <c r="E53" s="281">
        <v>1322.1428571428571</v>
      </c>
      <c r="F53" s="281">
        <v>11862.714285714286</v>
      </c>
      <c r="G53" s="281">
        <v>165.71428571428572</v>
      </c>
      <c r="H53" s="281">
        <v>46.142857142857146</v>
      </c>
      <c r="I53" s="281">
        <v>3386.8571428571427</v>
      </c>
      <c r="J53" s="79"/>
      <c r="K53" s="79"/>
      <c r="L53" s="48"/>
      <c r="M53" s="79"/>
      <c r="O53" s="79"/>
      <c r="P53" s="79" t="s">
        <v>102</v>
      </c>
      <c r="Q53" s="48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</row>
    <row r="54" spans="1:231" ht="17.5" x14ac:dyDescent="0.45">
      <c r="A54" s="18" t="s">
        <v>88</v>
      </c>
      <c r="B54" s="281">
        <v>10252.857142857143</v>
      </c>
      <c r="C54" s="281">
        <v>77406.42857142858</v>
      </c>
      <c r="D54" s="281">
        <v>642</v>
      </c>
      <c r="E54" s="281">
        <v>1322.1428571428571</v>
      </c>
      <c r="F54" s="281">
        <v>11862.714285714286</v>
      </c>
      <c r="G54" s="281">
        <v>165.71428571428572</v>
      </c>
      <c r="H54" s="281">
        <v>46.142857142857146</v>
      </c>
      <c r="I54" s="281">
        <v>3386.8571428571427</v>
      </c>
      <c r="J54" s="79"/>
      <c r="K54" s="79"/>
      <c r="L54" s="48"/>
      <c r="M54" s="79"/>
      <c r="O54" s="79"/>
      <c r="P54" s="79" t="s">
        <v>102</v>
      </c>
      <c r="Q54" s="48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</row>
    <row r="55" spans="1:231" ht="17.5" x14ac:dyDescent="0.45">
      <c r="A55" s="18" t="s">
        <v>89</v>
      </c>
      <c r="B55" s="281">
        <v>10252.857142857143</v>
      </c>
      <c r="C55" s="281">
        <v>77406.42857142858</v>
      </c>
      <c r="D55" s="281">
        <v>642</v>
      </c>
      <c r="E55" s="281">
        <v>1322.1428571428571</v>
      </c>
      <c r="F55" s="281">
        <v>11862.714285714286</v>
      </c>
      <c r="G55" s="281">
        <v>165.71428571428572</v>
      </c>
      <c r="H55" s="281">
        <v>46.142857142857146</v>
      </c>
      <c r="I55" s="281">
        <v>3386.8571428571427</v>
      </c>
      <c r="J55" s="79"/>
      <c r="K55" s="79"/>
      <c r="L55" s="48"/>
      <c r="M55" s="79"/>
      <c r="O55" s="79"/>
      <c r="P55" s="79" t="s">
        <v>102</v>
      </c>
      <c r="Q55" s="48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</row>
    <row r="56" spans="1:231" ht="18" thickBot="1" x14ac:dyDescent="0.5">
      <c r="A56" s="18" t="s">
        <v>90</v>
      </c>
      <c r="B56" s="281">
        <v>10252.857142857143</v>
      </c>
      <c r="C56" s="281">
        <v>77406.42857142858</v>
      </c>
      <c r="D56" s="281">
        <v>642</v>
      </c>
      <c r="E56" s="281">
        <v>1322.1428571428571</v>
      </c>
      <c r="F56" s="281">
        <v>11862.714285714286</v>
      </c>
      <c r="G56" s="281">
        <v>165.71428571428572</v>
      </c>
      <c r="H56" s="281">
        <v>46.142857142857146</v>
      </c>
      <c r="I56" s="281">
        <v>3386.8571428571427</v>
      </c>
      <c r="J56" s="79"/>
      <c r="K56" s="79"/>
      <c r="L56" s="48"/>
      <c r="M56" s="79"/>
      <c r="O56" s="79"/>
      <c r="P56" s="79" t="s">
        <v>102</v>
      </c>
      <c r="Q56" s="48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</row>
    <row r="57" spans="1:231" ht="17.5" x14ac:dyDescent="0.45">
      <c r="A57" s="18" t="s">
        <v>91</v>
      </c>
      <c r="B57" s="285">
        <v>1274471.7142857134</v>
      </c>
      <c r="C57" s="285">
        <v>8033982.9343238026</v>
      </c>
      <c r="D57" s="285">
        <v>90905</v>
      </c>
      <c r="E57" s="285">
        <v>109451.2857142857</v>
      </c>
      <c r="F57" s="285">
        <v>989521.42857142887</v>
      </c>
      <c r="G57" s="285">
        <v>21053.428571428576</v>
      </c>
      <c r="H57" s="285">
        <v>5057.2857142857119</v>
      </c>
      <c r="I57" s="285">
        <v>342929.71428571444</v>
      </c>
      <c r="J57" s="79"/>
      <c r="K57" s="79"/>
      <c r="L57" s="48"/>
      <c r="M57" s="79"/>
      <c r="O57" s="79"/>
      <c r="P57" s="79" t="s">
        <v>102</v>
      </c>
      <c r="Q57" s="48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9"/>
      <c r="BE57" s="49"/>
      <c r="BF57" s="49"/>
      <c r="BG57" s="49"/>
      <c r="BH57" s="49"/>
      <c r="BI57" s="49"/>
      <c r="BJ57" s="49"/>
      <c r="BK57" s="49"/>
      <c r="BL57" s="49"/>
      <c r="BM57" s="49"/>
      <c r="BN57" s="49"/>
      <c r="BO57" s="49"/>
      <c r="BP57" s="49"/>
      <c r="BQ57" s="49"/>
      <c r="BR57" s="49"/>
      <c r="BS57" s="49"/>
      <c r="BT57" s="49"/>
      <c r="BU57" s="49"/>
      <c r="BV57" s="49"/>
      <c r="BW57" s="49"/>
      <c r="BX57" s="49"/>
      <c r="BY57" s="49"/>
      <c r="BZ57" s="49"/>
      <c r="CA57" s="49"/>
      <c r="CB57" s="49"/>
      <c r="CC57" s="49"/>
      <c r="CD57" s="49"/>
      <c r="CE57" s="49"/>
      <c r="CF57" s="49"/>
      <c r="CG57" s="49"/>
      <c r="CH57" s="49"/>
      <c r="CI57" s="49"/>
      <c r="CJ57" s="49"/>
      <c r="CK57" s="49"/>
      <c r="CL57" s="49"/>
      <c r="CM57" s="49"/>
      <c r="CN57" s="49"/>
      <c r="CO57" s="49"/>
      <c r="CP57" s="49"/>
      <c r="CQ57" s="49"/>
      <c r="CR57" s="49"/>
      <c r="CS57" s="49"/>
      <c r="CT57" s="49"/>
      <c r="CU57" s="49"/>
      <c r="CV57" s="49"/>
      <c r="CW57" s="49"/>
      <c r="CX57" s="49"/>
      <c r="CY57" s="49"/>
      <c r="CZ57" s="49"/>
      <c r="DA57" s="49"/>
      <c r="DB57" s="49"/>
      <c r="DC57" s="49"/>
      <c r="DD57" s="49"/>
      <c r="DE57" s="49"/>
      <c r="DF57" s="49"/>
      <c r="DG57" s="49"/>
      <c r="DH57" s="49"/>
      <c r="DI57" s="49"/>
      <c r="DJ57" s="49"/>
      <c r="DK57" s="49"/>
      <c r="DL57" s="49"/>
      <c r="DM57" s="49"/>
      <c r="DN57" s="49"/>
      <c r="DO57" s="49"/>
      <c r="DP57" s="49"/>
      <c r="DQ57" s="49"/>
      <c r="DR57" s="49"/>
      <c r="DS57" s="49"/>
      <c r="DT57" s="49"/>
      <c r="DU57" s="49"/>
      <c r="DV57" s="49"/>
      <c r="DW57" s="49"/>
      <c r="DX57" s="49"/>
      <c r="DY57" s="49"/>
      <c r="DZ57" s="49"/>
      <c r="EA57" s="49"/>
      <c r="EB57" s="49"/>
      <c r="EC57" s="49"/>
      <c r="ED57" s="49"/>
      <c r="EE57" s="49"/>
      <c r="EF57" s="49"/>
      <c r="EG57" s="49"/>
      <c r="EH57" s="49"/>
      <c r="EI57" s="49"/>
      <c r="EJ57" s="49"/>
      <c r="EK57" s="49"/>
      <c r="EL57" s="49"/>
      <c r="EM57" s="49"/>
      <c r="EN57" s="49"/>
      <c r="EO57" s="49"/>
      <c r="EP57" s="49"/>
      <c r="EQ57" s="49"/>
      <c r="ER57" s="49"/>
      <c r="ES57" s="49"/>
      <c r="ET57" s="49"/>
      <c r="EU57" s="49"/>
      <c r="EV57" s="49"/>
      <c r="EW57" s="49"/>
      <c r="EX57" s="49"/>
      <c r="EY57" s="49"/>
      <c r="EZ57" s="49"/>
      <c r="FA57" s="49"/>
      <c r="FB57" s="49"/>
      <c r="FC57" s="49"/>
      <c r="FD57" s="49"/>
      <c r="FE57" s="49"/>
      <c r="FF57" s="49"/>
      <c r="FG57" s="49"/>
      <c r="FH57" s="49"/>
      <c r="FI57" s="49"/>
      <c r="FJ57" s="49"/>
      <c r="FK57" s="49"/>
      <c r="FL57" s="49"/>
      <c r="FM57" s="49"/>
      <c r="FN57" s="49"/>
      <c r="FO57" s="49"/>
      <c r="FP57" s="49"/>
      <c r="FQ57" s="49"/>
      <c r="FR57" s="49"/>
      <c r="FS57" s="49"/>
      <c r="FT57" s="49"/>
      <c r="FU57" s="49"/>
      <c r="FV57" s="49"/>
      <c r="FW57" s="49"/>
      <c r="FX57" s="49"/>
      <c r="FY57" s="49"/>
      <c r="FZ57" s="49"/>
      <c r="GA57" s="49"/>
      <c r="GB57" s="49"/>
      <c r="GC57" s="49"/>
      <c r="GD57" s="49"/>
      <c r="GE57" s="49"/>
      <c r="GF57" s="49"/>
      <c r="GG57" s="49"/>
      <c r="GH57" s="49"/>
      <c r="GI57" s="49"/>
      <c r="GJ57" s="49"/>
      <c r="GK57" s="49"/>
      <c r="GL57" s="49"/>
      <c r="GM57" s="49"/>
      <c r="GN57" s="49"/>
      <c r="GO57" s="49"/>
      <c r="GP57" s="49"/>
      <c r="GQ57" s="49"/>
      <c r="GR57" s="49"/>
      <c r="GS57" s="49"/>
      <c r="GT57" s="49"/>
      <c r="GU57" s="49"/>
      <c r="GV57" s="49"/>
      <c r="GW57" s="49"/>
      <c r="GX57" s="49"/>
      <c r="GY57" s="49"/>
      <c r="GZ57" s="49"/>
      <c r="HA57" s="49"/>
      <c r="HB57" s="49"/>
      <c r="HC57" s="49"/>
      <c r="HD57" s="49"/>
      <c r="HE57" s="49"/>
      <c r="HF57" s="49"/>
      <c r="HG57" s="49"/>
      <c r="HH57" s="49"/>
      <c r="HI57" s="49"/>
      <c r="HJ57" s="49"/>
      <c r="HK57" s="49"/>
      <c r="HL57" s="49"/>
      <c r="HM57" s="49"/>
      <c r="HN57" s="49"/>
      <c r="HO57" s="49"/>
      <c r="HP57" s="49"/>
      <c r="HQ57" s="49"/>
      <c r="HR57" s="49"/>
      <c r="HS57" s="49"/>
      <c r="HT57" s="49"/>
      <c r="HU57" s="49"/>
      <c r="HV57" s="49"/>
      <c r="HW57" s="49"/>
    </row>
    <row r="58" spans="1:231" ht="17.5" x14ac:dyDescent="0.45">
      <c r="A58" s="18" t="s">
        <v>92</v>
      </c>
      <c r="B58" s="281">
        <v>10252.857142857143</v>
      </c>
      <c r="C58" s="281">
        <v>77406.42857142858</v>
      </c>
      <c r="D58" s="281">
        <v>642</v>
      </c>
      <c r="E58" s="281">
        <v>1322.1428571428571</v>
      </c>
      <c r="F58" s="281">
        <v>11862.714285714286</v>
      </c>
      <c r="G58" s="281">
        <v>165.71428571428572</v>
      </c>
      <c r="H58" s="281">
        <v>46.142857142857146</v>
      </c>
      <c r="I58" s="281">
        <v>3386.8571428571427</v>
      </c>
      <c r="J58" s="79"/>
      <c r="K58" s="79"/>
      <c r="L58" s="48"/>
      <c r="M58" s="79"/>
      <c r="O58" s="79"/>
      <c r="P58" s="79" t="s">
        <v>102</v>
      </c>
      <c r="Q58" s="48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  <c r="BE58" s="49"/>
      <c r="BF58" s="49"/>
      <c r="BG58" s="49"/>
      <c r="BH58" s="49"/>
      <c r="BI58" s="49"/>
      <c r="BJ58" s="49"/>
      <c r="BK58" s="49"/>
      <c r="BL58" s="49"/>
      <c r="BM58" s="49"/>
      <c r="BN58" s="49"/>
      <c r="BO58" s="49"/>
      <c r="BP58" s="49"/>
      <c r="BQ58" s="49"/>
      <c r="BR58" s="49"/>
      <c r="BS58" s="49"/>
      <c r="BT58" s="49"/>
      <c r="BU58" s="49"/>
      <c r="BV58" s="49"/>
      <c r="BW58" s="49"/>
      <c r="BX58" s="49"/>
      <c r="BY58" s="49"/>
      <c r="BZ58" s="49"/>
      <c r="CA58" s="49"/>
      <c r="CB58" s="49"/>
      <c r="CC58" s="49"/>
      <c r="CD58" s="49"/>
      <c r="CE58" s="49"/>
      <c r="CF58" s="49"/>
      <c r="CG58" s="49"/>
      <c r="CH58" s="49"/>
      <c r="CI58" s="49"/>
      <c r="CJ58" s="49"/>
      <c r="CK58" s="49"/>
      <c r="CL58" s="49"/>
      <c r="CM58" s="49"/>
      <c r="CN58" s="49"/>
      <c r="CO58" s="49"/>
      <c r="CP58" s="49"/>
      <c r="CQ58" s="49"/>
      <c r="CR58" s="49"/>
      <c r="CS58" s="49"/>
      <c r="CT58" s="49"/>
      <c r="CU58" s="49"/>
      <c r="CV58" s="49"/>
      <c r="CW58" s="49"/>
      <c r="CX58" s="49"/>
      <c r="CY58" s="49"/>
      <c r="CZ58" s="49"/>
      <c r="DA58" s="49"/>
      <c r="DB58" s="49"/>
      <c r="DC58" s="49"/>
      <c r="DD58" s="49"/>
      <c r="DE58" s="49"/>
      <c r="DF58" s="49"/>
      <c r="DG58" s="49"/>
      <c r="DH58" s="49"/>
      <c r="DI58" s="49"/>
      <c r="DJ58" s="49"/>
      <c r="DK58" s="49"/>
      <c r="DL58" s="49"/>
      <c r="DM58" s="49"/>
      <c r="DN58" s="49"/>
      <c r="DO58" s="49"/>
      <c r="DP58" s="49"/>
      <c r="DQ58" s="49"/>
      <c r="DR58" s="49"/>
      <c r="DS58" s="49"/>
      <c r="DT58" s="49"/>
      <c r="DU58" s="49"/>
      <c r="DV58" s="49"/>
      <c r="DW58" s="49"/>
      <c r="DX58" s="49"/>
      <c r="DY58" s="49"/>
      <c r="DZ58" s="49"/>
      <c r="EA58" s="49"/>
      <c r="EB58" s="49"/>
      <c r="EC58" s="49"/>
      <c r="ED58" s="49"/>
      <c r="EE58" s="49"/>
      <c r="EF58" s="49"/>
      <c r="EG58" s="49"/>
      <c r="EH58" s="49"/>
      <c r="EI58" s="49"/>
      <c r="EJ58" s="49"/>
      <c r="EK58" s="49"/>
      <c r="EL58" s="49"/>
      <c r="EM58" s="49"/>
      <c r="EN58" s="49"/>
      <c r="EO58" s="49"/>
      <c r="EP58" s="49"/>
      <c r="EQ58" s="49"/>
      <c r="ER58" s="49"/>
      <c r="ES58" s="49"/>
      <c r="ET58" s="49"/>
      <c r="EU58" s="49"/>
      <c r="EV58" s="49"/>
      <c r="EW58" s="49"/>
      <c r="EX58" s="49"/>
      <c r="EY58" s="49"/>
      <c r="EZ58" s="49"/>
      <c r="FA58" s="49"/>
      <c r="FB58" s="49"/>
      <c r="FC58" s="49"/>
      <c r="FD58" s="49"/>
      <c r="FE58" s="49"/>
      <c r="FF58" s="49"/>
      <c r="FG58" s="49"/>
      <c r="FH58" s="49"/>
      <c r="FI58" s="49"/>
      <c r="FJ58" s="49"/>
      <c r="FK58" s="49"/>
      <c r="FL58" s="49"/>
      <c r="FM58" s="49"/>
      <c r="FN58" s="49"/>
      <c r="FO58" s="49"/>
      <c r="FP58" s="49"/>
      <c r="FQ58" s="49"/>
      <c r="FR58" s="49"/>
      <c r="FS58" s="49"/>
      <c r="FT58" s="49"/>
      <c r="FU58" s="49"/>
      <c r="FV58" s="49"/>
      <c r="FW58" s="49"/>
      <c r="FX58" s="49"/>
      <c r="FY58" s="49"/>
      <c r="FZ58" s="49"/>
      <c r="GA58" s="49"/>
      <c r="GB58" s="49"/>
      <c r="GC58" s="49"/>
      <c r="GD58" s="49"/>
      <c r="GE58" s="49"/>
      <c r="GF58" s="49"/>
      <c r="GG58" s="49"/>
      <c r="GH58" s="49"/>
      <c r="GI58" s="49"/>
      <c r="GJ58" s="49"/>
      <c r="GK58" s="49"/>
      <c r="GL58" s="49"/>
      <c r="GM58" s="49"/>
      <c r="GN58" s="49"/>
      <c r="GO58" s="49"/>
      <c r="GP58" s="49"/>
      <c r="GQ58" s="49"/>
      <c r="GR58" s="49"/>
      <c r="GS58" s="49"/>
      <c r="GT58" s="49"/>
      <c r="GU58" s="49"/>
      <c r="GV58" s="49"/>
      <c r="GW58" s="49"/>
      <c r="GX58" s="49"/>
      <c r="GY58" s="49"/>
      <c r="GZ58" s="49"/>
      <c r="HA58" s="49"/>
      <c r="HB58" s="49"/>
      <c r="HC58" s="49"/>
      <c r="HD58" s="49"/>
      <c r="HE58" s="49"/>
      <c r="HF58" s="49"/>
      <c r="HG58" s="49"/>
      <c r="HH58" s="49"/>
      <c r="HI58" s="49"/>
      <c r="HJ58" s="49"/>
      <c r="HK58" s="49"/>
      <c r="HL58" s="49"/>
      <c r="HM58" s="49"/>
      <c r="HN58" s="49"/>
      <c r="HO58" s="49"/>
      <c r="HP58" s="49"/>
      <c r="HQ58" s="49"/>
      <c r="HR58" s="49"/>
      <c r="HS58" s="49"/>
      <c r="HT58" s="49"/>
      <c r="HU58" s="49"/>
      <c r="HV58" s="49"/>
      <c r="HW58" s="49"/>
    </row>
    <row r="59" spans="1:231" ht="17.5" x14ac:dyDescent="0.45">
      <c r="A59" s="65" t="s">
        <v>93</v>
      </c>
      <c r="B59" s="281">
        <v>82022.857142857145</v>
      </c>
      <c r="C59" s="281">
        <v>619251.42857142864</v>
      </c>
      <c r="D59" s="281">
        <v>5136</v>
      </c>
      <c r="E59" s="281">
        <v>10577.142857142857</v>
      </c>
      <c r="F59" s="281">
        <v>94901.714285714304</v>
      </c>
      <c r="G59" s="281">
        <v>1325.714285714286</v>
      </c>
      <c r="H59" s="281">
        <v>369.14285714285722</v>
      </c>
      <c r="I59" s="281">
        <v>27094.857142857138</v>
      </c>
      <c r="J59" s="19"/>
      <c r="K59" s="80"/>
      <c r="L59" s="30"/>
      <c r="M59" s="80"/>
      <c r="N59" s="80"/>
      <c r="O59" s="80"/>
      <c r="P59" s="80" t="s">
        <v>102</v>
      </c>
      <c r="Q59" s="30"/>
    </row>
    <row r="60" spans="1:231" ht="20.149999999999999" customHeight="1" x14ac:dyDescent="0.35">
      <c r="A60" s="8"/>
      <c r="B60" s="5"/>
      <c r="C60" s="5"/>
      <c r="D60" s="57"/>
      <c r="E60" s="56" t="s">
        <v>102</v>
      </c>
      <c r="F60" s="56" t="s">
        <v>102</v>
      </c>
      <c r="G60" s="56" t="s">
        <v>102</v>
      </c>
      <c r="H60" s="56" t="s">
        <v>102</v>
      </c>
      <c r="I60" s="56" t="s">
        <v>102</v>
      </c>
      <c r="J60" s="80"/>
      <c r="K60" s="80"/>
      <c r="L60" s="30"/>
      <c r="M60" s="80"/>
      <c r="N60" s="80"/>
      <c r="O60" s="80"/>
      <c r="P60" s="80" t="s">
        <v>102</v>
      </c>
      <c r="Q60" s="30"/>
    </row>
    <row r="61" spans="1:231" ht="20.149999999999999" customHeight="1" x14ac:dyDescent="0.35">
      <c r="A61" s="8"/>
      <c r="B61" s="5"/>
      <c r="C61" s="5"/>
      <c r="D61" s="57"/>
      <c r="E61" s="56" t="s">
        <v>102</v>
      </c>
      <c r="F61" s="56" t="s">
        <v>102</v>
      </c>
      <c r="G61" s="56" t="s">
        <v>102</v>
      </c>
      <c r="H61" s="56" t="s">
        <v>102</v>
      </c>
      <c r="I61" s="56" t="s">
        <v>102</v>
      </c>
      <c r="J61" s="80"/>
      <c r="K61" s="80"/>
      <c r="L61" s="30"/>
      <c r="M61" s="80"/>
      <c r="N61" s="80"/>
      <c r="O61" s="80"/>
      <c r="P61" s="80" t="s">
        <v>102</v>
      </c>
      <c r="Q61" s="30"/>
    </row>
    <row r="62" spans="1:231" ht="20.149999999999999" customHeight="1" x14ac:dyDescent="0.35">
      <c r="A62" s="8"/>
      <c r="B62" s="5"/>
      <c r="C62" s="5"/>
      <c r="D62" s="57"/>
      <c r="E62" s="56" t="s">
        <v>102</v>
      </c>
      <c r="F62" s="56" t="s">
        <v>102</v>
      </c>
      <c r="G62" s="56" t="s">
        <v>102</v>
      </c>
      <c r="H62" s="56" t="s">
        <v>102</v>
      </c>
      <c r="I62" s="56" t="s">
        <v>102</v>
      </c>
      <c r="J62" s="80"/>
      <c r="K62" s="80"/>
      <c r="L62" s="30"/>
      <c r="M62" s="80"/>
      <c r="N62" s="80"/>
      <c r="O62" s="80"/>
      <c r="P62" s="80" t="s">
        <v>102</v>
      </c>
      <c r="Q62" s="30"/>
    </row>
    <row r="63" spans="1:231" ht="20.149999999999999" customHeight="1" x14ac:dyDescent="0.35">
      <c r="A63" s="8"/>
      <c r="B63" s="5"/>
      <c r="C63" s="5"/>
      <c r="D63" s="57"/>
      <c r="E63" s="56" t="s">
        <v>102</v>
      </c>
      <c r="F63" s="56" t="s">
        <v>102</v>
      </c>
      <c r="G63" s="56" t="s">
        <v>102</v>
      </c>
      <c r="H63" s="56" t="s">
        <v>102</v>
      </c>
      <c r="I63" s="56" t="s">
        <v>102</v>
      </c>
      <c r="J63" s="80"/>
      <c r="K63" s="80"/>
      <c r="L63" s="30"/>
      <c r="M63" s="80"/>
      <c r="N63" s="80"/>
      <c r="O63" s="80"/>
      <c r="P63" s="80" t="s">
        <v>102</v>
      </c>
      <c r="Q63" s="30"/>
    </row>
    <row r="64" spans="1:231" ht="20.149999999999999" customHeight="1" x14ac:dyDescent="0.35">
      <c r="A64" s="8"/>
      <c r="B64" s="5"/>
      <c r="C64" s="5"/>
      <c r="D64" s="57"/>
      <c r="E64" s="56" t="s">
        <v>102</v>
      </c>
      <c r="F64" s="56" t="s">
        <v>102</v>
      </c>
      <c r="G64" s="56" t="s">
        <v>102</v>
      </c>
      <c r="H64" s="56" t="s">
        <v>102</v>
      </c>
      <c r="I64" s="56" t="s">
        <v>102</v>
      </c>
      <c r="J64" s="80"/>
      <c r="K64" s="80"/>
      <c r="L64" s="30"/>
      <c r="M64" s="80"/>
      <c r="N64" s="80"/>
      <c r="O64" s="80"/>
      <c r="P64" s="80" t="s">
        <v>102</v>
      </c>
      <c r="Q64" s="30"/>
    </row>
    <row r="65" spans="1:17" ht="20.149999999999999" customHeight="1" x14ac:dyDescent="0.35">
      <c r="A65" s="8"/>
      <c r="B65" s="5"/>
      <c r="C65" s="5"/>
      <c r="D65" s="57"/>
      <c r="E65" s="56" t="s">
        <v>102</v>
      </c>
      <c r="F65" s="56" t="s">
        <v>102</v>
      </c>
      <c r="G65" s="56" t="s">
        <v>102</v>
      </c>
      <c r="H65" s="56" t="s">
        <v>102</v>
      </c>
      <c r="I65" s="56" t="s">
        <v>102</v>
      </c>
      <c r="J65" s="80"/>
      <c r="K65" s="80"/>
      <c r="L65" s="30"/>
      <c r="M65" s="80"/>
      <c r="N65" s="80"/>
      <c r="O65" s="80"/>
      <c r="P65" s="80" t="s">
        <v>102</v>
      </c>
      <c r="Q65" s="30"/>
    </row>
    <row r="66" spans="1:17" ht="20.149999999999999" customHeight="1" x14ac:dyDescent="0.35">
      <c r="A66" s="8"/>
      <c r="B66" s="5"/>
      <c r="C66" s="5"/>
      <c r="D66" s="57"/>
      <c r="E66" s="57"/>
      <c r="F66" s="57"/>
      <c r="G66" s="57"/>
      <c r="H66" s="57"/>
      <c r="I66" s="57"/>
      <c r="J66" s="30"/>
      <c r="K66" s="30"/>
      <c r="L66" s="30"/>
      <c r="M66" s="30"/>
      <c r="N66" s="30"/>
      <c r="O66" s="30"/>
      <c r="P66" s="30"/>
      <c r="Q66" s="30"/>
    </row>
    <row r="67" spans="1:17" ht="20.149999999999999" customHeight="1" x14ac:dyDescent="0.35">
      <c r="A67" s="8"/>
      <c r="B67" s="5"/>
      <c r="C67" s="5"/>
      <c r="D67" s="57"/>
      <c r="E67" s="57"/>
      <c r="F67" s="57"/>
      <c r="G67" s="57"/>
      <c r="H67" s="57"/>
      <c r="I67" s="57"/>
      <c r="J67" s="30"/>
      <c r="K67" s="30"/>
      <c r="L67" s="30"/>
      <c r="M67" s="30"/>
      <c r="N67" s="30"/>
      <c r="O67" s="30"/>
      <c r="P67" s="30"/>
      <c r="Q67" s="30"/>
    </row>
    <row r="68" spans="1:17" ht="20.149999999999999" customHeight="1" x14ac:dyDescent="0.35">
      <c r="A68" s="8"/>
      <c r="B68" s="5"/>
      <c r="C68" s="5"/>
      <c r="D68" s="57"/>
      <c r="E68" s="57"/>
      <c r="F68" s="57"/>
      <c r="G68" s="57"/>
      <c r="H68" s="57"/>
      <c r="I68" s="57"/>
      <c r="J68" s="30"/>
      <c r="K68" s="30"/>
      <c r="L68" s="30"/>
      <c r="M68" s="30"/>
      <c r="N68" s="30"/>
      <c r="O68" s="30"/>
      <c r="P68" s="30"/>
      <c r="Q68" s="30"/>
    </row>
    <row r="69" spans="1:17" ht="20.149999999999999" customHeight="1" x14ac:dyDescent="0.35">
      <c r="A69" s="8"/>
      <c r="B69" s="5"/>
      <c r="C69" s="5"/>
      <c r="D69" s="57"/>
      <c r="E69" s="57"/>
      <c r="F69" s="57"/>
      <c r="G69" s="57"/>
      <c r="H69" s="57"/>
      <c r="I69" s="57"/>
      <c r="J69" s="30"/>
      <c r="K69" s="30"/>
      <c r="L69" s="30"/>
      <c r="M69" s="30"/>
      <c r="N69" s="30"/>
      <c r="O69" s="30"/>
      <c r="P69" s="30"/>
      <c r="Q69" s="30"/>
    </row>
    <row r="70" spans="1:17" ht="20.149999999999999" customHeight="1" x14ac:dyDescent="0.35">
      <c r="A70" s="8"/>
      <c r="B70" s="5"/>
      <c r="C70" s="5"/>
      <c r="D70" s="57"/>
      <c r="E70" s="57"/>
      <c r="F70" s="57"/>
      <c r="G70" s="57"/>
      <c r="H70" s="57"/>
      <c r="I70" s="57"/>
      <c r="J70" s="30"/>
      <c r="K70" s="30"/>
      <c r="L70" s="30"/>
      <c r="M70" s="30"/>
      <c r="N70" s="30"/>
      <c r="O70" s="30"/>
      <c r="P70" s="30"/>
      <c r="Q70" s="30"/>
    </row>
    <row r="71" spans="1:17" ht="20.149999999999999" customHeight="1" x14ac:dyDescent="0.35">
      <c r="A71" s="8"/>
      <c r="B71" s="5"/>
      <c r="C71" s="5"/>
      <c r="D71" s="57"/>
      <c r="E71" s="57"/>
      <c r="F71" s="57"/>
      <c r="G71" s="57"/>
      <c r="H71" s="57"/>
      <c r="I71" s="57"/>
      <c r="J71" s="30"/>
      <c r="K71" s="30"/>
      <c r="L71" s="30"/>
      <c r="M71" s="30"/>
      <c r="N71" s="30"/>
      <c r="O71" s="30"/>
      <c r="P71" s="30"/>
      <c r="Q71" s="30"/>
    </row>
    <row r="72" spans="1:17" ht="20.149999999999999" customHeight="1" x14ac:dyDescent="0.35">
      <c r="A72" s="8"/>
      <c r="B72" s="5"/>
      <c r="C72" s="5"/>
      <c r="D72" s="57"/>
      <c r="E72" s="57"/>
      <c r="F72" s="57"/>
      <c r="G72" s="57"/>
      <c r="H72" s="57"/>
      <c r="I72" s="57"/>
      <c r="J72" s="30"/>
      <c r="K72" s="30"/>
      <c r="L72" s="30"/>
      <c r="M72" s="30"/>
      <c r="N72" s="30"/>
      <c r="O72" s="30"/>
      <c r="P72" s="30"/>
      <c r="Q72" s="30"/>
    </row>
    <row r="73" spans="1:17" ht="20.149999999999999" customHeight="1" x14ac:dyDescent="0.35">
      <c r="A73" s="8"/>
      <c r="B73" s="5"/>
      <c r="C73" s="5"/>
      <c r="D73" s="57"/>
      <c r="E73" s="57"/>
      <c r="F73" s="57"/>
      <c r="G73" s="57"/>
      <c r="H73" s="57"/>
      <c r="I73" s="57"/>
      <c r="J73" s="30"/>
      <c r="K73" s="30"/>
      <c r="L73" s="30"/>
      <c r="M73" s="30"/>
      <c r="N73" s="30"/>
      <c r="O73" s="30"/>
      <c r="P73" s="30"/>
      <c r="Q73" s="30"/>
    </row>
    <row r="74" spans="1:17" ht="20.149999999999999" customHeight="1" x14ac:dyDescent="0.35">
      <c r="A74" s="8"/>
      <c r="B74" s="5"/>
      <c r="C74" s="5"/>
      <c r="D74" s="57"/>
      <c r="E74" s="57"/>
      <c r="F74" s="57"/>
      <c r="G74" s="57"/>
      <c r="H74" s="57"/>
      <c r="I74" s="57"/>
      <c r="J74" s="30"/>
      <c r="K74" s="30"/>
      <c r="L74" s="30"/>
      <c r="M74" s="30"/>
      <c r="N74" s="30"/>
      <c r="O74" s="30"/>
      <c r="P74" s="30"/>
      <c r="Q74" s="30"/>
    </row>
    <row r="75" spans="1:17" ht="20.149999999999999" customHeight="1" x14ac:dyDescent="0.35">
      <c r="A75" s="8"/>
      <c r="B75" s="5"/>
      <c r="C75" s="5"/>
      <c r="D75" s="57"/>
      <c r="E75" s="57"/>
      <c r="F75" s="57"/>
      <c r="G75" s="57"/>
      <c r="H75" s="57"/>
      <c r="I75" s="57"/>
      <c r="J75" s="30"/>
      <c r="K75" s="30"/>
      <c r="L75" s="30"/>
      <c r="M75" s="30"/>
      <c r="N75" s="30"/>
      <c r="O75" s="30"/>
      <c r="P75" s="30"/>
      <c r="Q75" s="30"/>
    </row>
    <row r="76" spans="1:17" ht="20.149999999999999" customHeight="1" x14ac:dyDescent="0.35">
      <c r="A76" s="8"/>
      <c r="B76" s="5"/>
      <c r="C76" s="5"/>
      <c r="D76" s="57"/>
      <c r="E76" s="57"/>
      <c r="F76" s="57"/>
      <c r="G76" s="57"/>
      <c r="H76" s="57"/>
      <c r="I76" s="57"/>
      <c r="J76" s="30"/>
      <c r="K76" s="30"/>
      <c r="L76" s="30"/>
      <c r="M76" s="30"/>
      <c r="N76" s="30"/>
      <c r="O76" s="30"/>
      <c r="P76" s="30"/>
      <c r="Q76" s="30"/>
    </row>
    <row r="77" spans="1:17" ht="20.149999999999999" customHeight="1" x14ac:dyDescent="0.35">
      <c r="A77" s="8"/>
      <c r="B77" s="5"/>
      <c r="C77" s="5"/>
      <c r="D77" s="57"/>
      <c r="E77" s="57"/>
      <c r="F77" s="57"/>
      <c r="G77" s="57"/>
      <c r="H77" s="57"/>
      <c r="I77" s="57"/>
      <c r="J77" s="30"/>
      <c r="K77" s="30"/>
      <c r="L77" s="30"/>
      <c r="M77" s="30"/>
      <c r="N77" s="30"/>
      <c r="O77" s="30"/>
      <c r="P77" s="30"/>
      <c r="Q77" s="30"/>
    </row>
    <row r="78" spans="1:17" ht="20.149999999999999" customHeight="1" x14ac:dyDescent="0.35">
      <c r="A78" s="8"/>
      <c r="B78" s="5"/>
      <c r="C78" s="5"/>
      <c r="D78" s="57"/>
      <c r="E78" s="57"/>
      <c r="F78" s="57"/>
      <c r="G78" s="57"/>
      <c r="H78" s="57"/>
      <c r="I78" s="57"/>
      <c r="J78" s="30"/>
      <c r="K78" s="30"/>
      <c r="L78" s="30"/>
      <c r="M78" s="30"/>
      <c r="N78" s="30"/>
      <c r="O78" s="30"/>
      <c r="P78" s="30"/>
      <c r="Q78" s="30"/>
    </row>
    <row r="79" spans="1:17" ht="20.149999999999999" customHeight="1" x14ac:dyDescent="0.35">
      <c r="A79" s="8"/>
      <c r="B79" s="5"/>
      <c r="C79" s="5"/>
      <c r="D79" s="57"/>
      <c r="E79" s="57"/>
      <c r="F79" s="57"/>
      <c r="G79" s="57"/>
      <c r="H79" s="57"/>
      <c r="I79" s="57"/>
      <c r="J79" s="30"/>
      <c r="K79" s="30"/>
      <c r="L79" s="30"/>
      <c r="M79" s="30"/>
      <c r="N79" s="30"/>
      <c r="O79" s="30"/>
      <c r="P79" s="30"/>
      <c r="Q79" s="30"/>
    </row>
    <row r="80" spans="1:17" ht="20.149999999999999" customHeight="1" x14ac:dyDescent="0.35">
      <c r="A80" s="8"/>
      <c r="B80" s="5"/>
      <c r="C80" s="5"/>
      <c r="D80" s="57"/>
      <c r="E80" s="57"/>
      <c r="F80" s="57"/>
      <c r="G80" s="57"/>
      <c r="H80" s="57"/>
      <c r="I80" s="57"/>
      <c r="J80" s="30"/>
      <c r="K80" s="30"/>
      <c r="L80" s="30"/>
      <c r="M80" s="30"/>
      <c r="N80" s="30"/>
      <c r="O80" s="30"/>
      <c r="P80" s="30"/>
      <c r="Q80" s="30"/>
    </row>
    <row r="81" spans="1:17" ht="20.149999999999999" customHeight="1" x14ac:dyDescent="0.35">
      <c r="A81" s="8"/>
      <c r="B81" s="5"/>
      <c r="C81" s="5"/>
      <c r="D81" s="57"/>
      <c r="E81" s="57"/>
      <c r="F81" s="57"/>
      <c r="G81" s="57"/>
      <c r="H81" s="57"/>
      <c r="I81" s="57"/>
      <c r="J81" s="30"/>
      <c r="K81" s="30"/>
      <c r="L81" s="30"/>
      <c r="M81" s="30"/>
      <c r="N81" s="30"/>
      <c r="O81" s="30"/>
      <c r="P81" s="30"/>
      <c r="Q81" s="30"/>
    </row>
    <row r="82" spans="1:17" ht="20.149999999999999" customHeight="1" x14ac:dyDescent="0.35">
      <c r="A82" s="8"/>
      <c r="B82" s="5"/>
      <c r="C82" s="5"/>
      <c r="D82" s="57"/>
      <c r="E82" s="57"/>
      <c r="F82" s="57"/>
      <c r="G82" s="57"/>
      <c r="H82" s="57"/>
      <c r="I82" s="57"/>
      <c r="J82" s="30"/>
      <c r="K82" s="30"/>
      <c r="L82" s="30"/>
      <c r="M82" s="30"/>
      <c r="N82" s="30"/>
      <c r="O82" s="30"/>
      <c r="P82" s="30"/>
      <c r="Q82" s="30"/>
    </row>
    <row r="83" spans="1:17" ht="20.149999999999999" customHeight="1" x14ac:dyDescent="0.35">
      <c r="A83" s="8"/>
      <c r="B83" s="5"/>
      <c r="C83" s="5"/>
      <c r="D83" s="57"/>
      <c r="E83" s="57"/>
      <c r="F83" s="57"/>
      <c r="G83" s="57"/>
      <c r="H83" s="57"/>
      <c r="I83" s="57"/>
      <c r="J83" s="30"/>
      <c r="K83" s="30"/>
      <c r="L83" s="30"/>
      <c r="M83" s="30"/>
      <c r="N83" s="30"/>
      <c r="O83" s="30"/>
      <c r="P83" s="30"/>
      <c r="Q83" s="30"/>
    </row>
    <row r="84" spans="1:17" ht="20.149999999999999" customHeight="1" x14ac:dyDescent="0.35">
      <c r="A84" s="8"/>
      <c r="B84" s="5"/>
      <c r="C84" s="5"/>
      <c r="D84" s="57"/>
      <c r="E84" s="57"/>
      <c r="F84" s="57"/>
      <c r="G84" s="57"/>
      <c r="H84" s="57"/>
      <c r="I84" s="57"/>
      <c r="J84" s="30"/>
      <c r="K84" s="30"/>
      <c r="L84" s="30"/>
      <c r="M84" s="30"/>
      <c r="N84" s="30"/>
      <c r="O84" s="30"/>
      <c r="P84" s="30"/>
      <c r="Q84" s="30"/>
    </row>
    <row r="85" spans="1:17" ht="20.149999999999999" customHeight="1" x14ac:dyDescent="0.35">
      <c r="A85" s="8"/>
      <c r="B85" s="5"/>
      <c r="C85" s="5"/>
      <c r="D85" s="57"/>
      <c r="E85" s="57"/>
      <c r="F85" s="57"/>
      <c r="G85" s="57"/>
      <c r="H85" s="57"/>
      <c r="I85" s="57"/>
      <c r="J85" s="30"/>
      <c r="K85" s="30"/>
      <c r="L85" s="30"/>
      <c r="M85" s="30"/>
      <c r="N85" s="30"/>
      <c r="O85" s="30"/>
      <c r="P85" s="30"/>
      <c r="Q85" s="30"/>
    </row>
    <row r="86" spans="1:17" ht="20.149999999999999" customHeight="1" x14ac:dyDescent="0.35">
      <c r="A86" s="8"/>
      <c r="B86" s="5"/>
      <c r="C86" s="5"/>
      <c r="D86" s="57"/>
      <c r="E86" s="57"/>
      <c r="F86" s="57"/>
      <c r="G86" s="57"/>
      <c r="H86" s="57"/>
      <c r="I86" s="57"/>
      <c r="J86" s="30"/>
      <c r="K86" s="30"/>
      <c r="L86" s="30"/>
      <c r="M86" s="30"/>
      <c r="N86" s="30"/>
      <c r="O86" s="30"/>
      <c r="P86" s="30"/>
      <c r="Q86" s="30"/>
    </row>
    <row r="87" spans="1:17" ht="20.149999999999999" customHeight="1" x14ac:dyDescent="0.35">
      <c r="A87" s="8"/>
      <c r="B87" s="5"/>
      <c r="C87" s="5"/>
      <c r="D87" s="57"/>
      <c r="E87" s="57"/>
      <c r="F87" s="57"/>
      <c r="G87" s="57"/>
      <c r="H87" s="57"/>
      <c r="I87" s="57"/>
      <c r="J87" s="30"/>
      <c r="K87" s="30"/>
      <c r="L87" s="30"/>
      <c r="M87" s="30"/>
      <c r="N87" s="30"/>
      <c r="O87" s="30"/>
      <c r="P87" s="30"/>
      <c r="Q87" s="30"/>
    </row>
    <row r="88" spans="1:17" ht="20.149999999999999" customHeight="1" x14ac:dyDescent="0.35">
      <c r="A88" s="8"/>
      <c r="B88" s="5"/>
      <c r="C88" s="5"/>
      <c r="D88" s="57"/>
      <c r="E88" s="57"/>
      <c r="F88" s="57"/>
      <c r="G88" s="57"/>
      <c r="H88" s="57"/>
      <c r="I88" s="57"/>
      <c r="J88" s="30"/>
      <c r="K88" s="30"/>
      <c r="L88" s="30"/>
      <c r="M88" s="30"/>
      <c r="N88" s="30"/>
      <c r="O88" s="30"/>
      <c r="P88" s="30"/>
      <c r="Q88" s="30"/>
    </row>
    <row r="89" spans="1:17" ht="20.149999999999999" customHeight="1" x14ac:dyDescent="0.35">
      <c r="A89" s="8"/>
      <c r="B89" s="5"/>
      <c r="C89" s="5"/>
      <c r="D89" s="57"/>
      <c r="E89" s="57"/>
      <c r="F89" s="57"/>
      <c r="G89" s="57"/>
      <c r="H89" s="57"/>
      <c r="I89" s="57"/>
      <c r="J89" s="30"/>
      <c r="K89" s="30"/>
      <c r="L89" s="30"/>
      <c r="M89" s="30"/>
      <c r="N89" s="30"/>
      <c r="O89" s="30"/>
      <c r="P89" s="30"/>
      <c r="Q89" s="30"/>
    </row>
    <row r="90" spans="1:17" ht="20.149999999999999" customHeight="1" x14ac:dyDescent="0.35">
      <c r="A90" s="8"/>
      <c r="B90" s="5"/>
      <c r="C90" s="5"/>
      <c r="D90" s="57"/>
      <c r="E90" s="57"/>
      <c r="F90" s="57"/>
      <c r="G90" s="57"/>
      <c r="H90" s="57"/>
      <c r="I90" s="57"/>
      <c r="J90" s="30"/>
      <c r="K90" s="30"/>
      <c r="L90" s="30"/>
      <c r="M90" s="30"/>
      <c r="N90" s="30"/>
      <c r="O90" s="30"/>
      <c r="P90" s="30"/>
      <c r="Q90" s="30"/>
    </row>
    <row r="91" spans="1:17" ht="20.149999999999999" customHeight="1" x14ac:dyDescent="0.35">
      <c r="A91" s="8"/>
      <c r="B91" s="5"/>
      <c r="C91" s="5"/>
      <c r="D91" s="57"/>
      <c r="E91" s="57"/>
      <c r="F91" s="57"/>
      <c r="G91" s="57"/>
      <c r="H91" s="57"/>
      <c r="I91" s="57"/>
      <c r="J91" s="30"/>
      <c r="K91" s="30"/>
      <c r="L91" s="30"/>
      <c r="M91" s="30"/>
      <c r="N91" s="30"/>
      <c r="O91" s="30"/>
      <c r="P91" s="30"/>
      <c r="Q91" s="30"/>
    </row>
    <row r="92" spans="1:17" ht="20.149999999999999" customHeight="1" x14ac:dyDescent="0.35"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</row>
    <row r="93" spans="1:17" ht="20.149999999999999" customHeight="1" x14ac:dyDescent="0.35"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</row>
    <row r="94" spans="1:17" ht="20.149999999999999" customHeight="1" x14ac:dyDescent="0.35"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</row>
    <row r="95" spans="1:17" ht="20.149999999999999" customHeight="1" x14ac:dyDescent="0.35"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</row>
    <row r="96" spans="1:17" ht="20.149999999999999" customHeight="1" x14ac:dyDescent="0.35"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</row>
    <row r="97" spans="4:17" ht="20.149999999999999" customHeight="1" x14ac:dyDescent="0.35"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</row>
    <row r="98" spans="4:17" ht="20.149999999999999" customHeight="1" x14ac:dyDescent="0.35"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</row>
    <row r="99" spans="4:17" ht="20.149999999999999" customHeight="1" x14ac:dyDescent="0.35"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</row>
    <row r="100" spans="4:17" ht="20.149999999999999" customHeight="1" x14ac:dyDescent="0.35"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</row>
    <row r="101" spans="4:17" ht="20.149999999999999" customHeight="1" x14ac:dyDescent="0.35"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</row>
    <row r="102" spans="4:17" ht="20.149999999999999" customHeight="1" x14ac:dyDescent="0.35"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</row>
    <row r="103" spans="4:17" ht="20.149999999999999" customHeight="1" x14ac:dyDescent="0.35"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</row>
    <row r="104" spans="4:17" ht="20.149999999999999" customHeight="1" x14ac:dyDescent="0.35"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</row>
    <row r="105" spans="4:17" ht="20.149999999999999" customHeight="1" x14ac:dyDescent="0.35"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</row>
    <row r="106" spans="4:17" ht="20.149999999999999" customHeight="1" x14ac:dyDescent="0.35"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</row>
    <row r="107" spans="4:17" ht="20.149999999999999" customHeight="1" x14ac:dyDescent="0.35"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</row>
    <row r="108" spans="4:17" ht="20.149999999999999" customHeight="1" x14ac:dyDescent="0.35"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</row>
    <row r="109" spans="4:17" ht="20.149999999999999" customHeight="1" x14ac:dyDescent="0.35"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</row>
    <row r="110" spans="4:17" ht="20.149999999999999" customHeight="1" x14ac:dyDescent="0.35"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</row>
    <row r="111" spans="4:17" ht="20.149999999999999" customHeight="1" x14ac:dyDescent="0.35"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</row>
    <row r="112" spans="4:17" ht="20.149999999999999" customHeight="1" x14ac:dyDescent="0.35"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</row>
    <row r="113" spans="4:17" ht="20.149999999999999" customHeight="1" x14ac:dyDescent="0.35"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</row>
    <row r="114" spans="4:17" ht="20.149999999999999" customHeight="1" x14ac:dyDescent="0.35"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</row>
    <row r="115" spans="4:17" ht="20.149999999999999" customHeight="1" x14ac:dyDescent="0.35"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</row>
    <row r="116" spans="4:17" ht="20.149999999999999" customHeight="1" x14ac:dyDescent="0.35"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</row>
    <row r="117" spans="4:17" ht="20.149999999999999" customHeight="1" x14ac:dyDescent="0.35"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</row>
    <row r="118" spans="4:17" ht="20.149999999999999" customHeight="1" x14ac:dyDescent="0.35"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</row>
    <row r="119" spans="4:17" ht="20.149999999999999" customHeight="1" x14ac:dyDescent="0.35"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</row>
    <row r="120" spans="4:17" ht="20.149999999999999" customHeight="1" x14ac:dyDescent="0.35"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</row>
    <row r="121" spans="4:17" ht="20.149999999999999" customHeight="1" x14ac:dyDescent="0.35"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</row>
    <row r="122" spans="4:17" ht="20.149999999999999" customHeight="1" x14ac:dyDescent="0.35"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</row>
    <row r="123" spans="4:17" ht="20.149999999999999" customHeight="1" x14ac:dyDescent="0.35"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</row>
    <row r="124" spans="4:17" ht="20.149999999999999" customHeight="1" x14ac:dyDescent="0.35"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</row>
    <row r="125" spans="4:17" ht="20.149999999999999" customHeight="1" x14ac:dyDescent="0.35"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</row>
    <row r="126" spans="4:17" ht="20.149999999999999" customHeight="1" x14ac:dyDescent="0.35"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</row>
    <row r="127" spans="4:17" ht="20.149999999999999" customHeight="1" x14ac:dyDescent="0.35"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</row>
    <row r="128" spans="4:17" ht="20.149999999999999" customHeight="1" x14ac:dyDescent="0.35"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</row>
    <row r="129" spans="4:17" ht="20.149999999999999" customHeight="1" x14ac:dyDescent="0.35"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</row>
    <row r="130" spans="4:17" ht="20.149999999999999" customHeight="1" x14ac:dyDescent="0.35"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</row>
    <row r="131" spans="4:17" ht="20.149999999999999" customHeight="1" x14ac:dyDescent="0.35"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</row>
    <row r="132" spans="4:17" ht="20.149999999999999" customHeight="1" x14ac:dyDescent="0.35"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</row>
    <row r="133" spans="4:17" ht="20.149999999999999" customHeight="1" x14ac:dyDescent="0.35"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</row>
    <row r="134" spans="4:17" ht="20.149999999999999" customHeight="1" x14ac:dyDescent="0.35"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</row>
    <row r="135" spans="4:17" ht="20.149999999999999" customHeight="1" x14ac:dyDescent="0.35"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</row>
    <row r="136" spans="4:17" ht="20.149999999999999" customHeight="1" x14ac:dyDescent="0.35"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</row>
    <row r="137" spans="4:17" ht="20.149999999999999" customHeight="1" x14ac:dyDescent="0.35"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</row>
    <row r="138" spans="4:17" ht="20.149999999999999" customHeight="1" x14ac:dyDescent="0.35"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</row>
    <row r="139" spans="4:17" ht="20.149999999999999" customHeight="1" x14ac:dyDescent="0.35"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</row>
    <row r="140" spans="4:17" ht="20.149999999999999" customHeight="1" x14ac:dyDescent="0.35"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</row>
    <row r="141" spans="4:17" ht="20.149999999999999" customHeight="1" x14ac:dyDescent="0.35"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</row>
    <row r="142" spans="4:17" ht="20.149999999999999" customHeight="1" x14ac:dyDescent="0.35"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</row>
    <row r="143" spans="4:17" ht="20.149999999999999" customHeight="1" x14ac:dyDescent="0.35"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</row>
    <row r="144" spans="4:17" ht="20.149999999999999" customHeight="1" x14ac:dyDescent="0.35"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</row>
    <row r="145" spans="4:17" ht="20.149999999999999" customHeight="1" x14ac:dyDescent="0.35"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</row>
    <row r="146" spans="4:17" ht="20.149999999999999" customHeight="1" x14ac:dyDescent="0.35"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</row>
    <row r="147" spans="4:17" ht="20.149999999999999" customHeight="1" x14ac:dyDescent="0.35"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</row>
    <row r="148" spans="4:17" ht="20.149999999999999" customHeight="1" x14ac:dyDescent="0.35"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</row>
    <row r="149" spans="4:17" ht="20.149999999999999" customHeight="1" x14ac:dyDescent="0.35"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</row>
    <row r="150" spans="4:17" ht="20.149999999999999" customHeight="1" x14ac:dyDescent="0.35"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</row>
    <row r="151" spans="4:17" ht="20.149999999999999" customHeight="1" x14ac:dyDescent="0.35"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</row>
    <row r="152" spans="4:17" ht="20.149999999999999" customHeight="1" x14ac:dyDescent="0.35"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</row>
    <row r="153" spans="4:17" ht="20.149999999999999" customHeight="1" x14ac:dyDescent="0.35"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</row>
    <row r="154" spans="4:17" ht="20.149999999999999" customHeight="1" x14ac:dyDescent="0.35"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</row>
    <row r="155" spans="4:17" ht="20.149999999999999" customHeight="1" x14ac:dyDescent="0.35"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</row>
    <row r="156" spans="4:17" ht="20.149999999999999" customHeight="1" x14ac:dyDescent="0.35"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</row>
    <row r="157" spans="4:17" ht="20.149999999999999" customHeight="1" x14ac:dyDescent="0.35"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</row>
    <row r="158" spans="4:17" ht="20.149999999999999" customHeight="1" x14ac:dyDescent="0.35"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</row>
    <row r="159" spans="4:17" ht="20.149999999999999" customHeight="1" x14ac:dyDescent="0.35"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</row>
    <row r="160" spans="4:17" ht="20.149999999999999" customHeight="1" x14ac:dyDescent="0.35"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</row>
    <row r="161" spans="4:17" ht="20.149999999999999" customHeight="1" x14ac:dyDescent="0.35"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</row>
    <row r="162" spans="4:17" ht="20.149999999999999" customHeight="1" x14ac:dyDescent="0.35"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</row>
    <row r="163" spans="4:17" ht="20.149999999999999" customHeight="1" x14ac:dyDescent="0.35"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</row>
    <row r="164" spans="4:17" ht="20.149999999999999" customHeight="1" x14ac:dyDescent="0.35"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</row>
    <row r="165" spans="4:17" ht="20.149999999999999" customHeight="1" x14ac:dyDescent="0.35"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</row>
    <row r="166" spans="4:17" ht="20.149999999999999" customHeight="1" x14ac:dyDescent="0.35"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</row>
    <row r="167" spans="4:17" ht="20.149999999999999" customHeight="1" x14ac:dyDescent="0.35"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</row>
    <row r="168" spans="4:17" ht="20.149999999999999" customHeight="1" x14ac:dyDescent="0.35"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</row>
    <row r="169" spans="4:17" ht="20.149999999999999" customHeight="1" x14ac:dyDescent="0.35"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</row>
    <row r="170" spans="4:17" ht="20.149999999999999" customHeight="1" x14ac:dyDescent="0.35"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</row>
    <row r="171" spans="4:17" ht="20.149999999999999" customHeight="1" x14ac:dyDescent="0.35"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</row>
    <row r="172" spans="4:17" ht="20.149999999999999" customHeight="1" x14ac:dyDescent="0.35"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</row>
    <row r="173" spans="4:17" ht="20.149999999999999" customHeight="1" x14ac:dyDescent="0.35"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</row>
    <row r="174" spans="4:17" ht="20.149999999999999" customHeight="1" x14ac:dyDescent="0.35"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</row>
    <row r="175" spans="4:17" ht="20.149999999999999" customHeight="1" x14ac:dyDescent="0.35"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</row>
    <row r="176" spans="4:17" ht="20.149999999999999" customHeight="1" x14ac:dyDescent="0.35"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</row>
    <row r="177" spans="4:17" ht="20.149999999999999" customHeight="1" x14ac:dyDescent="0.35"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</row>
    <row r="178" spans="4:17" ht="20.149999999999999" customHeight="1" x14ac:dyDescent="0.35"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</row>
    <row r="179" spans="4:17" ht="20.149999999999999" customHeight="1" x14ac:dyDescent="0.35"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</row>
    <row r="180" spans="4:17" ht="20.149999999999999" customHeight="1" x14ac:dyDescent="0.35"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</row>
    <row r="181" spans="4:17" ht="20.149999999999999" customHeight="1" x14ac:dyDescent="0.35"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</row>
    <row r="182" spans="4:17" ht="20.149999999999999" customHeight="1" x14ac:dyDescent="0.35"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</row>
    <row r="183" spans="4:17" ht="20.149999999999999" customHeight="1" x14ac:dyDescent="0.35"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</row>
    <row r="184" spans="4:17" ht="20.149999999999999" customHeight="1" x14ac:dyDescent="0.35"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</row>
    <row r="185" spans="4:17" ht="20.149999999999999" customHeight="1" x14ac:dyDescent="0.35"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</row>
    <row r="186" spans="4:17" ht="20.149999999999999" customHeight="1" x14ac:dyDescent="0.35"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</row>
    <row r="187" spans="4:17" ht="20.149999999999999" customHeight="1" x14ac:dyDescent="0.35"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</row>
    <row r="188" spans="4:17" ht="20.149999999999999" customHeight="1" x14ac:dyDescent="0.35"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</row>
    <row r="189" spans="4:17" ht="20.149999999999999" customHeight="1" x14ac:dyDescent="0.35"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</row>
    <row r="190" spans="4:17" ht="20.149999999999999" customHeight="1" x14ac:dyDescent="0.35"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</row>
    <row r="191" spans="4:17" ht="20.149999999999999" customHeight="1" x14ac:dyDescent="0.35"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</row>
    <row r="192" spans="4:17" ht="20.149999999999999" customHeight="1" x14ac:dyDescent="0.35"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</row>
    <row r="193" spans="4:17" ht="20.149999999999999" customHeight="1" x14ac:dyDescent="0.35"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</row>
    <row r="194" spans="4:17" ht="20.149999999999999" customHeight="1" x14ac:dyDescent="0.35"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</row>
    <row r="195" spans="4:17" ht="20.149999999999999" customHeight="1" x14ac:dyDescent="0.35"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</row>
    <row r="196" spans="4:17" ht="20.149999999999999" customHeight="1" x14ac:dyDescent="0.35"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</row>
    <row r="197" spans="4:17" ht="20.149999999999999" customHeight="1" x14ac:dyDescent="0.35"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</row>
    <row r="198" spans="4:17" ht="20.149999999999999" customHeight="1" x14ac:dyDescent="0.35"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</row>
    <row r="199" spans="4:17" ht="20.149999999999999" customHeight="1" x14ac:dyDescent="0.35"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</row>
    <row r="200" spans="4:17" ht="20.149999999999999" customHeight="1" x14ac:dyDescent="0.35"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</row>
    <row r="201" spans="4:17" ht="20.149999999999999" customHeight="1" x14ac:dyDescent="0.35"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</row>
    <row r="202" spans="4:17" ht="20.149999999999999" customHeight="1" x14ac:dyDescent="0.35"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</row>
    <row r="203" spans="4:17" ht="20.149999999999999" customHeight="1" x14ac:dyDescent="0.35"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</row>
    <row r="204" spans="4:17" ht="20.149999999999999" customHeight="1" x14ac:dyDescent="0.35"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</row>
    <row r="205" spans="4:17" ht="20.149999999999999" customHeight="1" x14ac:dyDescent="0.35"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</row>
    <row r="206" spans="4:17" ht="20.149999999999999" customHeight="1" x14ac:dyDescent="0.35"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</row>
    <row r="207" spans="4:17" ht="20.149999999999999" customHeight="1" x14ac:dyDescent="0.35"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</row>
    <row r="208" spans="4:17" ht="20.149999999999999" customHeight="1" x14ac:dyDescent="0.35"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</row>
    <row r="209" spans="4:17" ht="20.149999999999999" customHeight="1" x14ac:dyDescent="0.35"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</row>
    <row r="210" spans="4:17" ht="20.149999999999999" customHeight="1" x14ac:dyDescent="0.35"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</row>
    <row r="211" spans="4:17" ht="20.149999999999999" customHeight="1" x14ac:dyDescent="0.35"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</row>
    <row r="212" spans="4:17" ht="20.149999999999999" customHeight="1" x14ac:dyDescent="0.35"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</row>
    <row r="213" spans="4:17" ht="20.149999999999999" customHeight="1" x14ac:dyDescent="0.35"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</row>
    <row r="214" spans="4:17" ht="20.149999999999999" customHeight="1" x14ac:dyDescent="0.35"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</row>
    <row r="215" spans="4:17" ht="20.149999999999999" customHeight="1" x14ac:dyDescent="0.35"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</row>
    <row r="216" spans="4:17" ht="20.149999999999999" customHeight="1" x14ac:dyDescent="0.35"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</row>
    <row r="217" spans="4:17" ht="20.149999999999999" customHeight="1" x14ac:dyDescent="0.35"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</row>
    <row r="218" spans="4:17" ht="20.149999999999999" customHeight="1" x14ac:dyDescent="0.35"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</row>
    <row r="219" spans="4:17" ht="20.149999999999999" customHeight="1" x14ac:dyDescent="0.35"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</row>
    <row r="220" spans="4:17" ht="20.149999999999999" customHeight="1" x14ac:dyDescent="0.35"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</row>
    <row r="221" spans="4:17" ht="20.149999999999999" customHeight="1" x14ac:dyDescent="0.35"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</row>
    <row r="222" spans="4:17" ht="20.149999999999999" customHeight="1" x14ac:dyDescent="0.35"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</row>
    <row r="223" spans="4:17" ht="20.149999999999999" customHeight="1" x14ac:dyDescent="0.35"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</row>
    <row r="224" spans="4:17" ht="20.149999999999999" customHeight="1" x14ac:dyDescent="0.35"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</row>
    <row r="225" spans="4:17" ht="20.149999999999999" customHeight="1" x14ac:dyDescent="0.35"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</row>
    <row r="226" spans="4:17" ht="20.149999999999999" customHeight="1" x14ac:dyDescent="0.35"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</row>
    <row r="227" spans="4:17" ht="20.149999999999999" customHeight="1" x14ac:dyDescent="0.35"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</row>
    <row r="228" spans="4:17" ht="20.149999999999999" customHeight="1" x14ac:dyDescent="0.35"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</row>
    <row r="229" spans="4:17" ht="20.149999999999999" customHeight="1" x14ac:dyDescent="0.35"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</row>
    <row r="230" spans="4:17" ht="20.149999999999999" customHeight="1" x14ac:dyDescent="0.35"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</row>
    <row r="231" spans="4:17" ht="20.149999999999999" customHeight="1" x14ac:dyDescent="0.35"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</row>
    <row r="232" spans="4:17" ht="20.149999999999999" customHeight="1" x14ac:dyDescent="0.35"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</row>
    <row r="233" spans="4:17" ht="20.149999999999999" customHeight="1" x14ac:dyDescent="0.35"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</row>
    <row r="234" spans="4:17" ht="20.149999999999999" customHeight="1" x14ac:dyDescent="0.35"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</row>
    <row r="235" spans="4:17" ht="20.149999999999999" customHeight="1" x14ac:dyDescent="0.35"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</row>
    <row r="236" spans="4:17" ht="20.149999999999999" customHeight="1" x14ac:dyDescent="0.35"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</row>
    <row r="237" spans="4:17" ht="20.149999999999999" customHeight="1" x14ac:dyDescent="0.35"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</row>
    <row r="238" spans="4:17" ht="20.149999999999999" customHeight="1" x14ac:dyDescent="0.35"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</row>
    <row r="239" spans="4:17" ht="20.149999999999999" customHeight="1" x14ac:dyDescent="0.35"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</row>
    <row r="240" spans="4:17" ht="20.149999999999999" customHeight="1" x14ac:dyDescent="0.35"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</row>
    <row r="241" spans="4:17" ht="20.149999999999999" customHeight="1" x14ac:dyDescent="0.35"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</row>
    <row r="242" spans="4:17" ht="20.149999999999999" customHeight="1" x14ac:dyDescent="0.35"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</row>
    <row r="243" spans="4:17" ht="20.149999999999999" customHeight="1" x14ac:dyDescent="0.35"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</row>
    <row r="244" spans="4:17" ht="20.149999999999999" customHeight="1" x14ac:dyDescent="0.35"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</row>
    <row r="245" spans="4:17" ht="20.149999999999999" customHeight="1" x14ac:dyDescent="0.35"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</row>
    <row r="246" spans="4:17" ht="20.149999999999999" customHeight="1" x14ac:dyDescent="0.35"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</row>
    <row r="247" spans="4:17" ht="20.149999999999999" customHeight="1" x14ac:dyDescent="0.35"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</row>
    <row r="248" spans="4:17" ht="20.149999999999999" customHeight="1" x14ac:dyDescent="0.35"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</row>
    <row r="249" spans="4:17" ht="20.149999999999999" customHeight="1" x14ac:dyDescent="0.35"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</row>
    <row r="250" spans="4:17" ht="20.149999999999999" customHeight="1" x14ac:dyDescent="0.35"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</row>
    <row r="251" spans="4:17" ht="20.149999999999999" customHeight="1" x14ac:dyDescent="0.35"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</row>
    <row r="252" spans="4:17" ht="20.149999999999999" customHeight="1" x14ac:dyDescent="0.35"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</row>
    <row r="253" spans="4:17" ht="20.149999999999999" customHeight="1" x14ac:dyDescent="0.35"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</row>
    <row r="254" spans="4:17" ht="20.149999999999999" customHeight="1" x14ac:dyDescent="0.35"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</row>
    <row r="255" spans="4:17" ht="20.149999999999999" customHeight="1" x14ac:dyDescent="0.35"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</row>
    <row r="256" spans="4:17" ht="20.149999999999999" customHeight="1" x14ac:dyDescent="0.35"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</row>
    <row r="257" spans="4:17" ht="20.149999999999999" customHeight="1" x14ac:dyDescent="0.35"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</row>
    <row r="258" spans="4:17" ht="20.149999999999999" customHeight="1" x14ac:dyDescent="0.35"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</row>
    <row r="259" spans="4:17" ht="20.149999999999999" customHeight="1" x14ac:dyDescent="0.35"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</row>
    <row r="260" spans="4:17" ht="20.149999999999999" customHeight="1" x14ac:dyDescent="0.35"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</row>
    <row r="261" spans="4:17" ht="20.149999999999999" customHeight="1" x14ac:dyDescent="0.35"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</row>
    <row r="262" spans="4:17" ht="20.149999999999999" customHeight="1" x14ac:dyDescent="0.35"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</row>
    <row r="263" spans="4:17" ht="20.149999999999999" customHeight="1" x14ac:dyDescent="0.35"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</row>
    <row r="264" spans="4:17" ht="20.149999999999999" customHeight="1" x14ac:dyDescent="0.35"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</row>
    <row r="265" spans="4:17" ht="20.149999999999999" customHeight="1" x14ac:dyDescent="0.35"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</row>
    <row r="266" spans="4:17" ht="20.149999999999999" customHeight="1" x14ac:dyDescent="0.35"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</row>
    <row r="267" spans="4:17" ht="20.149999999999999" customHeight="1" x14ac:dyDescent="0.35"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</row>
    <row r="268" spans="4:17" ht="20.149999999999999" customHeight="1" x14ac:dyDescent="0.35"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</row>
    <row r="269" spans="4:17" ht="20.149999999999999" customHeight="1" x14ac:dyDescent="0.35"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</row>
    <row r="270" spans="4:17" ht="20.149999999999999" customHeight="1" x14ac:dyDescent="0.35"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</row>
    <row r="271" spans="4:17" ht="20.149999999999999" customHeight="1" x14ac:dyDescent="0.35"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</row>
    <row r="272" spans="4:17" ht="20.149999999999999" customHeight="1" x14ac:dyDescent="0.35"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</row>
    <row r="273" spans="4:17" ht="20.149999999999999" customHeight="1" x14ac:dyDescent="0.35"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</row>
    <row r="274" spans="4:17" ht="20.149999999999999" customHeight="1" x14ac:dyDescent="0.35"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</row>
    <row r="275" spans="4:17" ht="20.149999999999999" customHeight="1" x14ac:dyDescent="0.35"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</row>
    <row r="276" spans="4:17" ht="20.149999999999999" customHeight="1" x14ac:dyDescent="0.35"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</row>
    <row r="277" spans="4:17" ht="20.149999999999999" customHeight="1" x14ac:dyDescent="0.35"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</row>
    <row r="278" spans="4:17" ht="20.149999999999999" customHeight="1" x14ac:dyDescent="0.35"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</row>
    <row r="279" spans="4:17" ht="20.149999999999999" customHeight="1" x14ac:dyDescent="0.35"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</row>
    <row r="280" spans="4:17" ht="20.149999999999999" customHeight="1" x14ac:dyDescent="0.35"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</row>
    <row r="281" spans="4:17" ht="20.149999999999999" customHeight="1" x14ac:dyDescent="0.35"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</row>
    <row r="282" spans="4:17" ht="20.149999999999999" customHeight="1" x14ac:dyDescent="0.35"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</row>
    <row r="283" spans="4:17" ht="20.149999999999999" customHeight="1" x14ac:dyDescent="0.35"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</row>
    <row r="284" spans="4:17" ht="20.149999999999999" customHeight="1" x14ac:dyDescent="0.35"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</row>
    <row r="285" spans="4:17" ht="20.149999999999999" customHeight="1" x14ac:dyDescent="0.35"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</row>
    <row r="286" spans="4:17" ht="20.149999999999999" customHeight="1" x14ac:dyDescent="0.35"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</row>
    <row r="287" spans="4:17" ht="20.149999999999999" customHeight="1" x14ac:dyDescent="0.35"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</row>
    <row r="288" spans="4:17" ht="20.149999999999999" customHeight="1" x14ac:dyDescent="0.35"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</row>
    <row r="289" spans="4:17" ht="20.149999999999999" customHeight="1" x14ac:dyDescent="0.35"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</row>
    <row r="290" spans="4:17" ht="20.149999999999999" customHeight="1" x14ac:dyDescent="0.35"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</row>
    <row r="291" spans="4:17" ht="20.149999999999999" customHeight="1" x14ac:dyDescent="0.35"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</row>
    <row r="292" spans="4:17" ht="20.149999999999999" customHeight="1" x14ac:dyDescent="0.35"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</row>
    <row r="293" spans="4:17" ht="20.149999999999999" customHeight="1" x14ac:dyDescent="0.35"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</row>
    <row r="294" spans="4:17" ht="20.149999999999999" customHeight="1" x14ac:dyDescent="0.35"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</row>
    <row r="295" spans="4:17" ht="20.149999999999999" customHeight="1" x14ac:dyDescent="0.35"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</row>
    <row r="296" spans="4:17" ht="20.149999999999999" customHeight="1" x14ac:dyDescent="0.35"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</row>
    <row r="297" spans="4:17" ht="20.149999999999999" customHeight="1" x14ac:dyDescent="0.35"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</row>
    <row r="298" spans="4:17" ht="20.149999999999999" customHeight="1" x14ac:dyDescent="0.35"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</row>
    <row r="299" spans="4:17" ht="20.149999999999999" customHeight="1" x14ac:dyDescent="0.35"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</row>
    <row r="300" spans="4:17" ht="20.149999999999999" customHeight="1" x14ac:dyDescent="0.35"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</row>
    <row r="301" spans="4:17" ht="20.149999999999999" customHeight="1" x14ac:dyDescent="0.35"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</row>
    <row r="302" spans="4:17" ht="20.149999999999999" customHeight="1" x14ac:dyDescent="0.35"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</row>
    <row r="303" spans="4:17" ht="20.149999999999999" customHeight="1" x14ac:dyDescent="0.35"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</row>
    <row r="304" spans="4:17" ht="20.149999999999999" customHeight="1" x14ac:dyDescent="0.35"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</row>
    <row r="305" spans="4:17" ht="20.149999999999999" customHeight="1" x14ac:dyDescent="0.35"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</row>
    <row r="306" spans="4:17" ht="20.149999999999999" customHeight="1" x14ac:dyDescent="0.35"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</row>
    <row r="307" spans="4:17" ht="20.149999999999999" customHeight="1" x14ac:dyDescent="0.35"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</row>
    <row r="308" spans="4:17" ht="20.149999999999999" customHeight="1" x14ac:dyDescent="0.35"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</row>
    <row r="309" spans="4:17" ht="20.149999999999999" customHeight="1" x14ac:dyDescent="0.35"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</row>
    <row r="310" spans="4:17" ht="20.149999999999999" customHeight="1" x14ac:dyDescent="0.35"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</row>
    <row r="311" spans="4:17" ht="20.149999999999999" customHeight="1" x14ac:dyDescent="0.35"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</row>
    <row r="312" spans="4:17" ht="20.149999999999999" customHeight="1" x14ac:dyDescent="0.35"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</row>
    <row r="313" spans="4:17" ht="20.149999999999999" customHeight="1" x14ac:dyDescent="0.35"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</row>
    <row r="314" spans="4:17" ht="20.149999999999999" customHeight="1" x14ac:dyDescent="0.35"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</row>
    <row r="315" spans="4:17" ht="20.149999999999999" customHeight="1" x14ac:dyDescent="0.35"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</row>
    <row r="316" spans="4:17" ht="20.149999999999999" customHeight="1" x14ac:dyDescent="0.35"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</row>
    <row r="317" spans="4:17" ht="20.149999999999999" customHeight="1" x14ac:dyDescent="0.35"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</row>
    <row r="318" spans="4:17" ht="20.149999999999999" customHeight="1" x14ac:dyDescent="0.35"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</row>
    <row r="319" spans="4:17" ht="20.149999999999999" customHeight="1" x14ac:dyDescent="0.35"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</row>
    <row r="320" spans="4:17" ht="20.149999999999999" customHeight="1" x14ac:dyDescent="0.35"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</row>
    <row r="321" spans="4:17" ht="20.149999999999999" customHeight="1" x14ac:dyDescent="0.35"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</row>
    <row r="322" spans="4:17" ht="20.149999999999999" customHeight="1" x14ac:dyDescent="0.35"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</row>
    <row r="323" spans="4:17" ht="20.149999999999999" customHeight="1" x14ac:dyDescent="0.35"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</row>
    <row r="324" spans="4:17" ht="20.149999999999999" customHeight="1" x14ac:dyDescent="0.35"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</row>
    <row r="325" spans="4:17" ht="20.149999999999999" customHeight="1" x14ac:dyDescent="0.35"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</row>
    <row r="326" spans="4:17" ht="20.149999999999999" customHeight="1" x14ac:dyDescent="0.35"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</row>
    <row r="327" spans="4:17" ht="20.149999999999999" customHeight="1" x14ac:dyDescent="0.35"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</row>
    <row r="328" spans="4:17" ht="20.149999999999999" customHeight="1" x14ac:dyDescent="0.35"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</row>
    <row r="329" spans="4:17" ht="20.149999999999999" customHeight="1" x14ac:dyDescent="0.35"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</row>
    <row r="330" spans="4:17" ht="20.149999999999999" customHeight="1" x14ac:dyDescent="0.35"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</row>
    <row r="331" spans="4:17" ht="20.149999999999999" customHeight="1" x14ac:dyDescent="0.35"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</row>
    <row r="332" spans="4:17" ht="20.149999999999999" customHeight="1" x14ac:dyDescent="0.35"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</row>
    <row r="333" spans="4:17" ht="20.149999999999999" customHeight="1" x14ac:dyDescent="0.35"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</row>
    <row r="334" spans="4:17" ht="20.149999999999999" customHeight="1" x14ac:dyDescent="0.35"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</row>
    <row r="335" spans="4:17" ht="20.149999999999999" customHeight="1" x14ac:dyDescent="0.35"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</row>
    <row r="336" spans="4:17" ht="20.149999999999999" customHeight="1" x14ac:dyDescent="0.35"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</row>
    <row r="337" spans="4:17" ht="20.149999999999999" customHeight="1" x14ac:dyDescent="0.35"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</row>
    <row r="338" spans="4:17" ht="20.149999999999999" customHeight="1" x14ac:dyDescent="0.35"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</row>
    <row r="339" spans="4:17" ht="20.149999999999999" customHeight="1" x14ac:dyDescent="0.35"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</row>
  </sheetData>
  <printOptions horizontalCentered="1"/>
  <pageMargins left="0.25" right="0.25" top="0.5" bottom="0.5" header="0.3" footer="0.3"/>
  <pageSetup scale="47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Button 1">
              <controlPr defaultSize="0" print="0" autoFill="0" autoPict="0" macro="[0]!pdfPage6">
                <anchor moveWithCells="1" sizeWithCells="1">
                  <from>
                    <xdr:col>0</xdr:col>
                    <xdr:colOff>50800</xdr:colOff>
                    <xdr:row>0</xdr:row>
                    <xdr:rowOff>19050</xdr:rowOff>
                  </from>
                  <to>
                    <xdr:col>0</xdr:col>
                    <xdr:colOff>57150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526CD-25F1-4A5A-959A-6253D600179C}">
  <sheetPr transitionEvaluation="1" transitionEntry="1" codeName="Sheet8">
    <pageSetUpPr fitToPage="1"/>
  </sheetPr>
  <dimension ref="A1:GX348"/>
  <sheetViews>
    <sheetView defaultGridColor="0" colorId="22" zoomScale="70" zoomScaleNormal="70" zoomScaleSheetLayoutView="125" workbookViewId="0">
      <selection activeCell="C13" sqref="C13"/>
    </sheetView>
  </sheetViews>
  <sheetFormatPr defaultColWidth="9.58203125" defaultRowHeight="20.149999999999999" customHeight="1" x14ac:dyDescent="0.35"/>
  <cols>
    <col min="1" max="1" width="40.58203125" style="83" customWidth="1"/>
    <col min="2" max="8" width="18.83203125" customWidth="1"/>
  </cols>
  <sheetData>
    <row r="1" spans="1:206" s="4" customFormat="1" ht="21" x14ac:dyDescent="0.55000000000000004">
      <c r="A1" s="286" t="s">
        <v>0</v>
      </c>
      <c r="B1" s="289"/>
      <c r="C1" s="289"/>
      <c r="D1" s="289"/>
      <c r="E1" s="290"/>
      <c r="F1" s="290"/>
      <c r="G1" s="290"/>
      <c r="H1" s="290"/>
    </row>
    <row r="2" spans="1:206" s="4" customFormat="1" ht="21" x14ac:dyDescent="0.55000000000000004">
      <c r="A2" s="265" t="s">
        <v>1</v>
      </c>
      <c r="B2" s="291"/>
      <c r="C2" s="254"/>
      <c r="D2" s="254"/>
      <c r="E2" s="254"/>
      <c r="F2" s="254"/>
      <c r="G2" s="254"/>
      <c r="H2" s="254"/>
    </row>
    <row r="3" spans="1:206" s="4" customFormat="1" ht="21" x14ac:dyDescent="0.55000000000000004">
      <c r="A3" s="238" t="s">
        <v>2</v>
      </c>
      <c r="B3" s="291"/>
      <c r="C3" s="254"/>
      <c r="D3" s="254"/>
      <c r="E3" s="254"/>
      <c r="F3" s="254"/>
      <c r="G3" s="254"/>
      <c r="H3" s="254"/>
    </row>
    <row r="4" spans="1:206" s="4" customFormat="1" ht="84" x14ac:dyDescent="0.55000000000000004">
      <c r="A4" s="238" t="s">
        <v>3</v>
      </c>
      <c r="B4" s="291"/>
      <c r="C4" s="254"/>
      <c r="D4" s="254"/>
      <c r="E4" s="254"/>
      <c r="F4" s="254"/>
      <c r="G4" s="254"/>
      <c r="H4" s="289"/>
    </row>
    <row r="5" spans="1:206" s="4" customFormat="1" ht="63" x14ac:dyDescent="0.55000000000000004">
      <c r="A5" s="238" t="s">
        <v>4</v>
      </c>
      <c r="B5" s="291"/>
      <c r="C5" s="289"/>
      <c r="D5" s="289"/>
      <c r="E5" s="291"/>
      <c r="F5" s="291"/>
      <c r="G5" s="291"/>
      <c r="H5" s="291"/>
    </row>
    <row r="6" spans="1:206" s="69" customFormat="1" ht="90.75" customHeight="1" x14ac:dyDescent="0.35">
      <c r="A6" s="362" t="s">
        <v>34</v>
      </c>
      <c r="B6" s="363" t="s">
        <v>128</v>
      </c>
      <c r="C6" s="363" t="s">
        <v>129</v>
      </c>
      <c r="D6" s="364" t="s">
        <v>130</v>
      </c>
      <c r="E6" s="365" t="s">
        <v>422</v>
      </c>
      <c r="F6" s="366" t="s">
        <v>131</v>
      </c>
      <c r="G6" s="363" t="s">
        <v>132</v>
      </c>
      <c r="H6" s="363" t="s">
        <v>133</v>
      </c>
    </row>
    <row r="7" spans="1:206" ht="17.5" x14ac:dyDescent="0.45">
      <c r="A7" s="269" t="s">
        <v>42</v>
      </c>
      <c r="B7" s="242">
        <v>140</v>
      </c>
      <c r="C7" s="242">
        <v>50954</v>
      </c>
      <c r="D7" s="242">
        <v>129087</v>
      </c>
      <c r="E7" s="242">
        <v>0</v>
      </c>
      <c r="F7" s="242">
        <v>63616</v>
      </c>
      <c r="G7" s="242">
        <v>20516</v>
      </c>
      <c r="H7" s="242">
        <v>84132</v>
      </c>
      <c r="I7" s="48"/>
      <c r="J7" s="48"/>
      <c r="K7" s="48"/>
      <c r="L7" s="48"/>
      <c r="M7" s="48"/>
      <c r="N7" s="48"/>
      <c r="O7" s="48"/>
      <c r="P7" s="48"/>
      <c r="Q7" s="48"/>
      <c r="R7" s="48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</row>
    <row r="8" spans="1:206" ht="17.5" x14ac:dyDescent="0.45">
      <c r="A8" s="269" t="s">
        <v>43</v>
      </c>
      <c r="B8" s="242">
        <v>44</v>
      </c>
      <c r="C8" s="242">
        <v>21444</v>
      </c>
      <c r="D8" s="242">
        <v>72970</v>
      </c>
      <c r="E8" s="242">
        <v>14000</v>
      </c>
      <c r="F8" s="242">
        <v>10656</v>
      </c>
      <c r="G8" s="242">
        <v>386858</v>
      </c>
      <c r="H8" s="242">
        <v>397514</v>
      </c>
      <c r="I8" s="48"/>
      <c r="J8" s="48"/>
      <c r="K8" s="48"/>
      <c r="L8" s="48"/>
      <c r="M8" s="48"/>
      <c r="N8" s="48"/>
      <c r="O8" s="48"/>
      <c r="P8" s="48"/>
      <c r="Q8" s="48"/>
      <c r="R8" s="48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</row>
    <row r="9" spans="1:206" ht="17.5" x14ac:dyDescent="0.45">
      <c r="A9" s="269" t="s">
        <v>44</v>
      </c>
      <c r="B9" s="242">
        <v>44</v>
      </c>
      <c r="C9" s="242">
        <v>59269</v>
      </c>
      <c r="D9" s="242">
        <v>79379</v>
      </c>
      <c r="E9" s="242">
        <v>14000</v>
      </c>
      <c r="F9" s="242">
        <v>56006</v>
      </c>
      <c r="G9" s="242">
        <v>308377</v>
      </c>
      <c r="H9" s="242">
        <v>364383</v>
      </c>
      <c r="I9" s="48"/>
      <c r="J9" s="48"/>
      <c r="K9" s="48"/>
      <c r="L9" s="48"/>
      <c r="M9" s="48"/>
      <c r="N9" s="48"/>
      <c r="O9" s="48"/>
      <c r="P9" s="48"/>
      <c r="Q9" s="48"/>
      <c r="R9" s="48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</row>
    <row r="10" spans="1:206" ht="17.5" x14ac:dyDescent="0.45">
      <c r="A10" s="269" t="s">
        <v>45</v>
      </c>
      <c r="B10" s="242">
        <v>116</v>
      </c>
      <c r="C10" s="242">
        <v>26593</v>
      </c>
      <c r="D10" s="242">
        <v>132347</v>
      </c>
      <c r="E10" s="242">
        <v>5740</v>
      </c>
      <c r="F10" s="242">
        <v>23994</v>
      </c>
      <c r="G10" s="242">
        <v>140052</v>
      </c>
      <c r="H10" s="242">
        <v>164046</v>
      </c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</row>
    <row r="11" spans="1:206" ht="17.5" x14ac:dyDescent="0.45">
      <c r="A11" s="269" t="s">
        <v>46</v>
      </c>
      <c r="B11" s="242">
        <v>24</v>
      </c>
      <c r="C11" s="242">
        <v>17472</v>
      </c>
      <c r="D11" s="242">
        <v>76373</v>
      </c>
      <c r="E11" s="242">
        <v>2660</v>
      </c>
      <c r="F11" s="242">
        <v>77698</v>
      </c>
      <c r="G11" s="242">
        <v>32153</v>
      </c>
      <c r="H11" s="242">
        <v>109851</v>
      </c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</row>
    <row r="12" spans="1:206" ht="17.5" x14ac:dyDescent="0.45">
      <c r="A12" s="269" t="s">
        <v>47</v>
      </c>
      <c r="B12" s="242">
        <v>68</v>
      </c>
      <c r="C12" s="242">
        <v>15106</v>
      </c>
      <c r="D12" s="242">
        <v>55387</v>
      </c>
      <c r="E12" s="242">
        <v>14280</v>
      </c>
      <c r="F12" s="242">
        <v>2302</v>
      </c>
      <c r="G12" s="242">
        <v>320641</v>
      </c>
      <c r="H12" s="242">
        <v>322943</v>
      </c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</row>
    <row r="13" spans="1:206" ht="17.5" x14ac:dyDescent="0.45">
      <c r="A13" s="269" t="s">
        <v>48</v>
      </c>
      <c r="B13" s="242">
        <v>54</v>
      </c>
      <c r="C13" s="242">
        <v>7956</v>
      </c>
      <c r="D13" s="242">
        <v>83942</v>
      </c>
      <c r="E13" s="243">
        <v>0</v>
      </c>
      <c r="F13" s="242">
        <v>60617</v>
      </c>
      <c r="G13" s="242">
        <v>8987</v>
      </c>
      <c r="H13" s="242">
        <v>69604</v>
      </c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</row>
    <row r="14" spans="1:206" ht="17.5" x14ac:dyDescent="0.45">
      <c r="A14" s="269" t="s">
        <v>49</v>
      </c>
      <c r="B14" s="242">
        <v>88</v>
      </c>
      <c r="C14" s="242">
        <v>20492</v>
      </c>
      <c r="D14" s="242">
        <v>78571</v>
      </c>
      <c r="E14" s="243">
        <v>0</v>
      </c>
      <c r="F14" s="242">
        <v>44855</v>
      </c>
      <c r="G14" s="243">
        <v>0</v>
      </c>
      <c r="H14" s="242">
        <v>44855</v>
      </c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</row>
    <row r="15" spans="1:206" ht="17.5" x14ac:dyDescent="0.45">
      <c r="A15" s="269" t="s">
        <v>50</v>
      </c>
      <c r="B15" s="242">
        <v>68</v>
      </c>
      <c r="C15" s="242">
        <v>24326</v>
      </c>
      <c r="D15" s="242">
        <v>74533</v>
      </c>
      <c r="E15" s="243">
        <v>0</v>
      </c>
      <c r="F15" s="242">
        <v>34479</v>
      </c>
      <c r="G15" s="243">
        <v>0</v>
      </c>
      <c r="H15" s="242">
        <v>34479</v>
      </c>
      <c r="I15" s="48"/>
      <c r="J15" s="48"/>
      <c r="K15" s="48"/>
      <c r="L15" s="48"/>
      <c r="M15" s="48"/>
      <c r="N15" s="48"/>
      <c r="O15" s="48"/>
      <c r="P15" s="48"/>
      <c r="Q15" s="48"/>
      <c r="R15" s="48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</row>
    <row r="16" spans="1:206" ht="17.5" x14ac:dyDescent="0.45">
      <c r="A16" s="269" t="s">
        <v>51</v>
      </c>
      <c r="B16" s="242">
        <v>54</v>
      </c>
      <c r="C16" s="242">
        <v>1506</v>
      </c>
      <c r="D16" s="242">
        <v>43903</v>
      </c>
      <c r="E16" s="243">
        <v>0</v>
      </c>
      <c r="F16" s="242">
        <v>25096</v>
      </c>
      <c r="G16" s="243">
        <v>0</v>
      </c>
      <c r="H16" s="242">
        <v>25096</v>
      </c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</row>
    <row r="17" spans="1:206" ht="17.5" x14ac:dyDescent="0.45">
      <c r="A17" s="269" t="s">
        <v>52</v>
      </c>
      <c r="B17" s="242">
        <v>57</v>
      </c>
      <c r="C17" s="243">
        <v>0</v>
      </c>
      <c r="D17" s="242">
        <v>14019</v>
      </c>
      <c r="E17" s="243">
        <v>0</v>
      </c>
      <c r="F17" s="242">
        <v>40599</v>
      </c>
      <c r="G17" s="243">
        <v>0</v>
      </c>
      <c r="H17" s="242">
        <v>40599</v>
      </c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</row>
    <row r="18" spans="1:206" ht="17.5" x14ac:dyDescent="0.45">
      <c r="A18" s="269" t="s">
        <v>53</v>
      </c>
      <c r="B18" s="242">
        <v>19</v>
      </c>
      <c r="C18" s="243">
        <v>0</v>
      </c>
      <c r="D18" s="242">
        <v>15597</v>
      </c>
      <c r="E18" s="243">
        <v>0</v>
      </c>
      <c r="F18" s="242">
        <v>47829</v>
      </c>
      <c r="G18" s="243">
        <v>0</v>
      </c>
      <c r="H18" s="242">
        <v>47829</v>
      </c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</row>
    <row r="19" spans="1:206" ht="17.5" x14ac:dyDescent="0.45">
      <c r="A19" s="269" t="s">
        <v>54</v>
      </c>
      <c r="B19" s="242">
        <v>19</v>
      </c>
      <c r="C19" s="243">
        <v>0</v>
      </c>
      <c r="D19" s="242">
        <v>29660</v>
      </c>
      <c r="E19" s="242">
        <v>12600</v>
      </c>
      <c r="F19" s="242">
        <v>16578</v>
      </c>
      <c r="G19" s="242">
        <v>259020</v>
      </c>
      <c r="H19" s="242">
        <v>275598</v>
      </c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</row>
    <row r="20" spans="1:206" ht="17.5" x14ac:dyDescent="0.45">
      <c r="A20" s="269" t="s">
        <v>55</v>
      </c>
      <c r="B20" s="242">
        <v>21</v>
      </c>
      <c r="C20" s="242">
        <v>3240</v>
      </c>
      <c r="D20" s="242">
        <v>29290</v>
      </c>
      <c r="E20" s="243">
        <v>0</v>
      </c>
      <c r="F20" s="242">
        <v>93658</v>
      </c>
      <c r="G20" s="242">
        <v>23390</v>
      </c>
      <c r="H20" s="242">
        <v>117048</v>
      </c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</row>
    <row r="21" spans="1:206" ht="17.5" x14ac:dyDescent="0.45">
      <c r="A21" s="269" t="s">
        <v>56</v>
      </c>
      <c r="B21" s="242">
        <v>20</v>
      </c>
      <c r="C21" s="243">
        <v>0</v>
      </c>
      <c r="D21" s="242">
        <v>17842</v>
      </c>
      <c r="E21" s="242">
        <v>11394</v>
      </c>
      <c r="F21" s="242">
        <v>10801</v>
      </c>
      <c r="G21" s="242">
        <v>239834</v>
      </c>
      <c r="H21" s="242">
        <v>250635</v>
      </c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</row>
    <row r="22" spans="1:206" ht="17.5" x14ac:dyDescent="0.45">
      <c r="A22" s="269" t="s">
        <v>57</v>
      </c>
      <c r="B22" s="242">
        <v>70</v>
      </c>
      <c r="C22" s="242">
        <v>25984</v>
      </c>
      <c r="D22" s="242">
        <v>97750</v>
      </c>
      <c r="E22" s="242">
        <v>12830</v>
      </c>
      <c r="F22" s="242">
        <v>45022</v>
      </c>
      <c r="G22" s="242">
        <v>252916</v>
      </c>
      <c r="H22" s="242">
        <v>297938</v>
      </c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</row>
    <row r="23" spans="1:206" ht="17.5" x14ac:dyDescent="0.45">
      <c r="A23" s="269" t="s">
        <v>58</v>
      </c>
      <c r="B23" s="242">
        <v>75</v>
      </c>
      <c r="C23" s="242">
        <v>3185</v>
      </c>
      <c r="D23" s="242">
        <v>51424</v>
      </c>
      <c r="E23" s="242">
        <v>12416</v>
      </c>
      <c r="F23" s="242">
        <v>36512</v>
      </c>
      <c r="G23" s="242">
        <v>175901</v>
      </c>
      <c r="H23" s="244">
        <v>212413</v>
      </c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</row>
    <row r="24" spans="1:206" ht="17.5" x14ac:dyDescent="0.45">
      <c r="A24" s="269" t="s">
        <v>59</v>
      </c>
      <c r="B24" s="242">
        <v>28</v>
      </c>
      <c r="C24" s="242">
        <v>5563</v>
      </c>
      <c r="D24" s="242">
        <v>31838</v>
      </c>
      <c r="E24" s="242">
        <v>2659</v>
      </c>
      <c r="F24" s="242">
        <v>59232</v>
      </c>
      <c r="G24" s="242">
        <v>56131</v>
      </c>
      <c r="H24" s="244">
        <v>115363</v>
      </c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</row>
    <row r="25" spans="1:206" ht="17.5" x14ac:dyDescent="0.45">
      <c r="A25" s="269" t="s">
        <v>111</v>
      </c>
      <c r="B25" s="242">
        <v>27</v>
      </c>
      <c r="C25" s="242">
        <v>7624</v>
      </c>
      <c r="D25" s="242">
        <v>52018</v>
      </c>
      <c r="E25" s="242">
        <v>7458</v>
      </c>
      <c r="F25" s="242">
        <v>26583</v>
      </c>
      <c r="G25" s="242">
        <v>70024</v>
      </c>
      <c r="H25" s="244">
        <v>96607</v>
      </c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</row>
    <row r="26" spans="1:206" ht="17.5" x14ac:dyDescent="0.45">
      <c r="A26" s="269" t="s">
        <v>60</v>
      </c>
      <c r="B26" s="242">
        <v>22</v>
      </c>
      <c r="C26" s="242">
        <v>2716</v>
      </c>
      <c r="D26" s="242">
        <v>43475</v>
      </c>
      <c r="E26" s="242">
        <v>4430</v>
      </c>
      <c r="F26" s="242">
        <v>80774</v>
      </c>
      <c r="G26" s="242">
        <v>117688</v>
      </c>
      <c r="H26" s="244">
        <v>198462</v>
      </c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</row>
    <row r="27" spans="1:206" ht="17.5" x14ac:dyDescent="0.45">
      <c r="A27" s="270" t="s">
        <v>61</v>
      </c>
      <c r="B27" s="242">
        <v>19</v>
      </c>
      <c r="C27" s="242">
        <v>3270</v>
      </c>
      <c r="D27" s="242">
        <v>32565</v>
      </c>
      <c r="E27" s="242">
        <v>3586</v>
      </c>
      <c r="F27" s="242">
        <v>61846</v>
      </c>
      <c r="G27" s="242">
        <v>10740</v>
      </c>
      <c r="H27" s="244">
        <v>72586</v>
      </c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</row>
    <row r="28" spans="1:206" ht="17.5" x14ac:dyDescent="0.45">
      <c r="A28" s="270" t="s">
        <v>62</v>
      </c>
      <c r="B28" s="242">
        <v>19</v>
      </c>
      <c r="C28" s="242">
        <v>856</v>
      </c>
      <c r="D28" s="242">
        <v>37146</v>
      </c>
      <c r="E28" s="242">
        <v>8285</v>
      </c>
      <c r="F28" s="242">
        <v>26930</v>
      </c>
      <c r="G28" s="242">
        <v>33394</v>
      </c>
      <c r="H28" s="244">
        <v>60324</v>
      </c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</row>
    <row r="29" spans="1:206" ht="17.5" x14ac:dyDescent="0.45">
      <c r="A29" s="270" t="s">
        <v>63</v>
      </c>
      <c r="B29" s="242">
        <v>30</v>
      </c>
      <c r="C29" s="242">
        <v>4313</v>
      </c>
      <c r="D29" s="242">
        <v>51330</v>
      </c>
      <c r="E29" s="242">
        <v>8018</v>
      </c>
      <c r="F29" s="242">
        <v>39102</v>
      </c>
      <c r="G29" s="242">
        <v>48147</v>
      </c>
      <c r="H29" s="244">
        <v>87249</v>
      </c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</row>
    <row r="30" spans="1:206" ht="17.5" x14ac:dyDescent="0.45">
      <c r="A30" s="270" t="s">
        <v>64</v>
      </c>
      <c r="B30" s="242">
        <v>98</v>
      </c>
      <c r="C30" s="242">
        <v>13</v>
      </c>
      <c r="D30" s="242">
        <v>40005</v>
      </c>
      <c r="E30" s="242">
        <v>11596</v>
      </c>
      <c r="F30" s="242">
        <v>70270</v>
      </c>
      <c r="G30" s="242">
        <v>6377</v>
      </c>
      <c r="H30" s="242">
        <v>76647</v>
      </c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</row>
    <row r="31" spans="1:206" ht="17.5" x14ac:dyDescent="0.45">
      <c r="A31" s="270" t="s">
        <v>65</v>
      </c>
      <c r="B31" s="242">
        <v>67</v>
      </c>
      <c r="C31" s="243">
        <v>0</v>
      </c>
      <c r="D31" s="242">
        <v>34881</v>
      </c>
      <c r="E31" s="242">
        <v>7367</v>
      </c>
      <c r="F31" s="242">
        <v>48436</v>
      </c>
      <c r="G31" s="242">
        <v>261317</v>
      </c>
      <c r="H31" s="242">
        <v>309753</v>
      </c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</row>
    <row r="32" spans="1:206" ht="17.5" x14ac:dyDescent="0.45">
      <c r="A32" s="270" t="s">
        <v>66</v>
      </c>
      <c r="B32" s="242">
        <v>41</v>
      </c>
      <c r="C32" s="243">
        <v>0</v>
      </c>
      <c r="D32" s="242">
        <v>30689</v>
      </c>
      <c r="E32" s="242">
        <v>7503</v>
      </c>
      <c r="F32" s="242">
        <v>26847</v>
      </c>
      <c r="G32" s="242">
        <v>109472</v>
      </c>
      <c r="H32" s="242">
        <v>136319</v>
      </c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</row>
    <row r="33" spans="1:206" ht="17.5" x14ac:dyDescent="0.45">
      <c r="A33" s="269" t="s">
        <v>67</v>
      </c>
      <c r="B33" s="292">
        <v>6</v>
      </c>
      <c r="C33" s="293">
        <v>0</v>
      </c>
      <c r="D33" s="242">
        <v>30959</v>
      </c>
      <c r="E33" s="242">
        <v>8193</v>
      </c>
      <c r="F33" s="242">
        <v>42118</v>
      </c>
      <c r="G33" s="242">
        <v>10334</v>
      </c>
      <c r="H33" s="242">
        <v>52452</v>
      </c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</row>
    <row r="34" spans="1:206" ht="17.5" x14ac:dyDescent="0.45">
      <c r="A34" s="269" t="s">
        <v>68</v>
      </c>
      <c r="B34" s="242">
        <v>49</v>
      </c>
      <c r="C34" s="242">
        <v>102</v>
      </c>
      <c r="D34" s="242">
        <v>13670</v>
      </c>
      <c r="E34" s="242">
        <v>8533</v>
      </c>
      <c r="F34" s="242">
        <v>34181</v>
      </c>
      <c r="G34" s="242">
        <v>15584</v>
      </c>
      <c r="H34" s="242">
        <v>49765</v>
      </c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</row>
    <row r="35" spans="1:206" ht="17.5" x14ac:dyDescent="0.45">
      <c r="A35" s="269" t="s">
        <v>69</v>
      </c>
      <c r="B35" s="243">
        <v>0</v>
      </c>
      <c r="C35" s="242">
        <v>0</v>
      </c>
      <c r="D35" s="242">
        <v>14461</v>
      </c>
      <c r="E35" s="242">
        <v>2400</v>
      </c>
      <c r="F35" s="242">
        <v>35726</v>
      </c>
      <c r="G35" s="242">
        <v>50428</v>
      </c>
      <c r="H35" s="242">
        <v>86154</v>
      </c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</row>
    <row r="36" spans="1:206" ht="17.5" x14ac:dyDescent="0.45">
      <c r="A36" s="270" t="s">
        <v>70</v>
      </c>
      <c r="B36" s="242">
        <v>20</v>
      </c>
      <c r="C36" s="242">
        <v>446</v>
      </c>
      <c r="D36" s="242">
        <v>23462</v>
      </c>
      <c r="E36" s="242">
        <v>7968</v>
      </c>
      <c r="F36" s="242">
        <v>25829</v>
      </c>
      <c r="G36" s="242">
        <v>174078</v>
      </c>
      <c r="H36" s="242">
        <v>199907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</row>
    <row r="37" spans="1:206" ht="17.5" x14ac:dyDescent="0.45">
      <c r="A37" s="269" t="s">
        <v>71</v>
      </c>
      <c r="B37" s="242">
        <v>23</v>
      </c>
      <c r="C37" s="243">
        <v>0</v>
      </c>
      <c r="D37" s="242">
        <v>22437</v>
      </c>
      <c r="E37" s="242">
        <v>6032</v>
      </c>
      <c r="F37" s="242">
        <v>36391</v>
      </c>
      <c r="G37" s="242">
        <v>176681</v>
      </c>
      <c r="H37" s="242">
        <v>213072</v>
      </c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</row>
    <row r="38" spans="1:206" ht="17.5" x14ac:dyDescent="0.45">
      <c r="A38" s="269" t="s">
        <v>72</v>
      </c>
      <c r="B38" s="242">
        <v>21</v>
      </c>
      <c r="C38" s="243">
        <v>0</v>
      </c>
      <c r="D38" s="242">
        <v>27047</v>
      </c>
      <c r="E38" s="243">
        <v>0</v>
      </c>
      <c r="F38" s="242">
        <v>57012</v>
      </c>
      <c r="G38" s="242">
        <v>12402</v>
      </c>
      <c r="H38" s="242">
        <v>69414</v>
      </c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</row>
    <row r="39" spans="1:206" ht="17.5" x14ac:dyDescent="0.45">
      <c r="A39" s="269" t="s">
        <v>73</v>
      </c>
      <c r="B39" s="243">
        <v>0</v>
      </c>
      <c r="C39" s="243">
        <v>0</v>
      </c>
      <c r="D39" s="242">
        <v>16120</v>
      </c>
      <c r="E39" s="243">
        <v>0</v>
      </c>
      <c r="F39" s="242">
        <v>32440</v>
      </c>
      <c r="G39" s="243">
        <v>0</v>
      </c>
      <c r="H39" s="242">
        <v>32440</v>
      </c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</row>
    <row r="40" spans="1:206" ht="17.5" x14ac:dyDescent="0.45">
      <c r="A40" s="269" t="s">
        <v>74</v>
      </c>
      <c r="B40" s="243">
        <v>0</v>
      </c>
      <c r="C40" s="243">
        <v>0</v>
      </c>
      <c r="D40" s="242">
        <v>-187</v>
      </c>
      <c r="E40" s="243">
        <v>0</v>
      </c>
      <c r="F40" s="242">
        <v>5439</v>
      </c>
      <c r="G40" s="243">
        <v>0</v>
      </c>
      <c r="H40" s="242">
        <v>5439</v>
      </c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</row>
    <row r="41" spans="1:206" ht="17.5" x14ac:dyDescent="0.45">
      <c r="A41" s="269" t="s">
        <v>75</v>
      </c>
      <c r="B41" s="243">
        <v>0</v>
      </c>
      <c r="C41" s="243">
        <v>0</v>
      </c>
      <c r="D41" s="242">
        <v>1643</v>
      </c>
      <c r="E41" s="243">
        <v>0</v>
      </c>
      <c r="F41" s="243">
        <v>0</v>
      </c>
      <c r="G41" s="243">
        <v>0</v>
      </c>
      <c r="H41" s="243">
        <v>0</v>
      </c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</row>
    <row r="42" spans="1:206" ht="17.5" x14ac:dyDescent="0.45">
      <c r="A42" s="269" t="s">
        <v>76</v>
      </c>
      <c r="B42" s="243">
        <v>0</v>
      </c>
      <c r="C42" s="243">
        <v>0</v>
      </c>
      <c r="D42" s="242">
        <v>1706</v>
      </c>
      <c r="E42" s="246">
        <v>999</v>
      </c>
      <c r="F42" s="242">
        <v>12757</v>
      </c>
      <c r="G42" s="242">
        <v>22197</v>
      </c>
      <c r="H42" s="242">
        <v>34954</v>
      </c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</row>
    <row r="43" spans="1:206" ht="17.5" x14ac:dyDescent="0.45">
      <c r="A43" s="269" t="s">
        <v>77</v>
      </c>
      <c r="B43" s="243">
        <v>0</v>
      </c>
      <c r="C43" s="246">
        <v>21</v>
      </c>
      <c r="D43" s="242">
        <v>11268</v>
      </c>
      <c r="E43" s="246">
        <v>0</v>
      </c>
      <c r="F43" s="242">
        <v>13890</v>
      </c>
      <c r="G43" s="242">
        <v>44669</v>
      </c>
      <c r="H43" s="242">
        <v>58559</v>
      </c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</row>
    <row r="44" spans="1:206" ht="17.5" x14ac:dyDescent="0.45">
      <c r="A44" s="269" t="s">
        <v>78</v>
      </c>
      <c r="B44" s="246">
        <v>15</v>
      </c>
      <c r="C44" s="246">
        <v>0</v>
      </c>
      <c r="D44" s="242">
        <v>51737</v>
      </c>
      <c r="E44" s="246">
        <v>665</v>
      </c>
      <c r="F44" s="246">
        <v>53255</v>
      </c>
      <c r="G44" s="242">
        <v>38261</v>
      </c>
      <c r="H44" s="242">
        <v>91516</v>
      </c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</row>
    <row r="45" spans="1:206" ht="17.5" x14ac:dyDescent="0.45">
      <c r="A45" s="269" t="s">
        <v>79</v>
      </c>
      <c r="B45" s="246">
        <v>0</v>
      </c>
      <c r="C45" s="246">
        <v>83</v>
      </c>
      <c r="D45" s="242">
        <v>38235</v>
      </c>
      <c r="E45" s="246">
        <v>8861</v>
      </c>
      <c r="F45" s="246">
        <v>32888</v>
      </c>
      <c r="G45" s="242">
        <v>150429</v>
      </c>
      <c r="H45" s="242">
        <v>183317</v>
      </c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</row>
    <row r="46" spans="1:206" ht="17.5" x14ac:dyDescent="0.45">
      <c r="A46" s="269" t="s">
        <v>80</v>
      </c>
      <c r="B46" s="246">
        <v>0</v>
      </c>
      <c r="C46" s="246">
        <v>0</v>
      </c>
      <c r="D46" s="242">
        <v>14834</v>
      </c>
      <c r="E46" s="246">
        <v>0</v>
      </c>
      <c r="F46" s="246">
        <v>44065</v>
      </c>
      <c r="G46" s="242">
        <v>0</v>
      </c>
      <c r="H46" s="242">
        <v>44065</v>
      </c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</row>
    <row r="47" spans="1:206" ht="17.5" x14ac:dyDescent="0.45">
      <c r="A47" s="269" t="s">
        <v>81</v>
      </c>
      <c r="B47" s="246">
        <v>14</v>
      </c>
      <c r="C47" s="246">
        <v>0</v>
      </c>
      <c r="D47" s="242">
        <v>2689</v>
      </c>
      <c r="E47" s="246">
        <v>0</v>
      </c>
      <c r="F47" s="246">
        <v>6135</v>
      </c>
      <c r="G47" s="242">
        <v>0</v>
      </c>
      <c r="H47" s="242">
        <v>6135</v>
      </c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</row>
    <row r="48" spans="1:206" ht="17.5" x14ac:dyDescent="0.45">
      <c r="A48" s="269" t="s">
        <v>82</v>
      </c>
      <c r="B48" s="242">
        <v>0</v>
      </c>
      <c r="C48" s="242">
        <v>3571.4285714285716</v>
      </c>
      <c r="D48" s="242">
        <v>20997</v>
      </c>
      <c r="E48" s="242">
        <v>2000</v>
      </c>
      <c r="F48" s="242">
        <v>23284.285714285714</v>
      </c>
      <c r="G48" s="242">
        <v>36508</v>
      </c>
      <c r="H48" s="242">
        <v>59792.28571428571</v>
      </c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</row>
    <row r="49" spans="1:206" ht="17.5" x14ac:dyDescent="0.45">
      <c r="A49" s="269" t="s">
        <v>83</v>
      </c>
      <c r="B49" s="242">
        <v>0</v>
      </c>
      <c r="C49" s="242">
        <v>3571.4285714285716</v>
      </c>
      <c r="D49" s="242">
        <v>20997</v>
      </c>
      <c r="E49" s="242">
        <v>2000</v>
      </c>
      <c r="F49" s="242">
        <v>23284.285714285714</v>
      </c>
      <c r="G49" s="242">
        <v>36508</v>
      </c>
      <c r="H49" s="242">
        <v>59792.28571428571</v>
      </c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</row>
    <row r="50" spans="1:206" ht="17.5" x14ac:dyDescent="0.45">
      <c r="A50" s="269" t="s">
        <v>84</v>
      </c>
      <c r="B50" s="242">
        <v>0</v>
      </c>
      <c r="C50" s="242">
        <v>3571.4285714285716</v>
      </c>
      <c r="D50" s="242">
        <v>20997</v>
      </c>
      <c r="E50" s="242">
        <v>2000</v>
      </c>
      <c r="F50" s="242">
        <v>23284.285714285714</v>
      </c>
      <c r="G50" s="242">
        <v>36508</v>
      </c>
      <c r="H50" s="242">
        <v>59792.28571428571</v>
      </c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</row>
    <row r="51" spans="1:206" ht="17.5" x14ac:dyDescent="0.45">
      <c r="A51" s="269" t="s">
        <v>85</v>
      </c>
      <c r="B51" s="242">
        <v>10</v>
      </c>
      <c r="C51" s="242">
        <v>3571.4285714285716</v>
      </c>
      <c r="D51" s="242">
        <v>21007</v>
      </c>
      <c r="E51" s="242">
        <v>2000</v>
      </c>
      <c r="F51" s="242">
        <v>23284.285714285714</v>
      </c>
      <c r="G51" s="242">
        <v>36508</v>
      </c>
      <c r="H51" s="242">
        <v>59792.28571428571</v>
      </c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</row>
    <row r="52" spans="1:206" ht="17.5" x14ac:dyDescent="0.45">
      <c r="A52" s="269" t="s">
        <v>86</v>
      </c>
      <c r="B52" s="242">
        <v>10</v>
      </c>
      <c r="C52" s="242">
        <v>3571.4285714285716</v>
      </c>
      <c r="D52" s="242">
        <v>21007</v>
      </c>
      <c r="E52" s="242">
        <v>2000</v>
      </c>
      <c r="F52" s="242">
        <v>23284.285714285714</v>
      </c>
      <c r="G52" s="242">
        <v>36508</v>
      </c>
      <c r="H52" s="242">
        <v>59792.28571428571</v>
      </c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</row>
    <row r="53" spans="1:206" ht="17.5" x14ac:dyDescent="0.45">
      <c r="A53" s="269" t="s">
        <v>87</v>
      </c>
      <c r="B53" s="242">
        <v>10</v>
      </c>
      <c r="C53" s="242">
        <v>3571.4285714285716</v>
      </c>
      <c r="D53" s="242">
        <v>21007</v>
      </c>
      <c r="E53" s="242">
        <v>2000</v>
      </c>
      <c r="F53" s="242">
        <v>23284.285714285714</v>
      </c>
      <c r="G53" s="242">
        <v>36508</v>
      </c>
      <c r="H53" s="242">
        <v>59792.28571428571</v>
      </c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</row>
    <row r="54" spans="1:206" ht="17.5" x14ac:dyDescent="0.45">
      <c r="A54" s="269" t="s">
        <v>88</v>
      </c>
      <c r="B54" s="242">
        <v>10</v>
      </c>
      <c r="C54" s="242">
        <v>3571.4285714285716</v>
      </c>
      <c r="D54" s="242">
        <v>21007</v>
      </c>
      <c r="E54" s="242">
        <v>2000</v>
      </c>
      <c r="F54" s="242">
        <v>23284.285714285714</v>
      </c>
      <c r="G54" s="242">
        <v>36508</v>
      </c>
      <c r="H54" s="242">
        <v>59792.28571428571</v>
      </c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</row>
    <row r="55" spans="1:206" ht="17.5" x14ac:dyDescent="0.45">
      <c r="A55" s="269" t="s">
        <v>89</v>
      </c>
      <c r="B55" s="242">
        <v>10</v>
      </c>
      <c r="C55" s="242">
        <v>3571.4285714285716</v>
      </c>
      <c r="D55" s="242">
        <v>21007</v>
      </c>
      <c r="E55" s="242">
        <v>2000</v>
      </c>
      <c r="F55" s="242">
        <v>23284.285714285714</v>
      </c>
      <c r="G55" s="242">
        <v>36508</v>
      </c>
      <c r="H55" s="242">
        <v>59792.28571428571</v>
      </c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</row>
    <row r="56" spans="1:206" ht="18" thickBot="1" x14ac:dyDescent="0.5">
      <c r="A56" s="269" t="s">
        <v>90</v>
      </c>
      <c r="B56" s="242">
        <v>10</v>
      </c>
      <c r="C56" s="242">
        <v>3571.4285714285716</v>
      </c>
      <c r="D56" s="242">
        <v>21007</v>
      </c>
      <c r="E56" s="242">
        <v>2000</v>
      </c>
      <c r="F56" s="242">
        <v>23284.285714285714</v>
      </c>
      <c r="G56" s="242">
        <v>36508</v>
      </c>
      <c r="H56" s="242">
        <v>59792.28571428571</v>
      </c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</row>
    <row r="57" spans="1:206" ht="18.5" x14ac:dyDescent="0.45">
      <c r="A57" s="269" t="s">
        <v>91</v>
      </c>
      <c r="B57" s="247">
        <v>1540</v>
      </c>
      <c r="C57" s="247">
        <v>334676.85714285722</v>
      </c>
      <c r="D57" s="247">
        <v>1895135</v>
      </c>
      <c r="E57" s="247">
        <v>222473</v>
      </c>
      <c r="F57" s="247">
        <v>1772022.5714285711</v>
      </c>
      <c r="G57" s="247">
        <v>3905570</v>
      </c>
      <c r="H57" s="247">
        <v>5677592.571428569</v>
      </c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</row>
    <row r="58" spans="1:206" ht="18.5" x14ac:dyDescent="0.45">
      <c r="A58" s="269" t="s">
        <v>92</v>
      </c>
      <c r="B58" s="242">
        <v>10</v>
      </c>
      <c r="C58" s="242">
        <v>3571.4285714285716</v>
      </c>
      <c r="D58" s="242">
        <v>21007</v>
      </c>
      <c r="E58" s="242">
        <v>2000</v>
      </c>
      <c r="F58" s="242">
        <v>23284.285714285714</v>
      </c>
      <c r="G58" s="242">
        <v>36508</v>
      </c>
      <c r="H58" s="242">
        <v>59792.28571428571</v>
      </c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</row>
    <row r="59" spans="1:206" ht="17.5" x14ac:dyDescent="0.45">
      <c r="A59" s="272" t="s">
        <v>93</v>
      </c>
      <c r="B59" s="242">
        <v>60</v>
      </c>
      <c r="C59" s="242">
        <v>28571.428571428576</v>
      </c>
      <c r="D59" s="242">
        <v>168036</v>
      </c>
      <c r="E59" s="242">
        <v>16000</v>
      </c>
      <c r="F59" s="242">
        <v>186274.28571428571</v>
      </c>
      <c r="G59" s="242">
        <v>292064</v>
      </c>
      <c r="H59" s="242">
        <v>478338.28571428568</v>
      </c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1:206" ht="20.149999999999999" customHeight="1" x14ac:dyDescent="0.35">
      <c r="E60" s="80" t="s">
        <v>102</v>
      </c>
      <c r="F60" s="80" t="s">
        <v>102</v>
      </c>
      <c r="G60" s="80" t="s">
        <v>102</v>
      </c>
      <c r="H60" s="80" t="s">
        <v>102</v>
      </c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1:206" ht="20.149999999999999" customHeight="1" x14ac:dyDescent="0.35">
      <c r="E61" s="80" t="s">
        <v>102</v>
      </c>
      <c r="F61" s="80" t="s">
        <v>102</v>
      </c>
      <c r="G61" s="80" t="s">
        <v>102</v>
      </c>
      <c r="H61" s="80" t="s">
        <v>102</v>
      </c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1:206" ht="20.149999999999999" customHeight="1" x14ac:dyDescent="0.35">
      <c r="E62" s="80" t="s">
        <v>102</v>
      </c>
      <c r="F62" s="80" t="s">
        <v>102</v>
      </c>
      <c r="G62" s="80" t="s">
        <v>102</v>
      </c>
      <c r="H62" s="80" t="s">
        <v>102</v>
      </c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1:206" ht="20.149999999999999" customHeight="1" x14ac:dyDescent="0.35">
      <c r="E63" s="80" t="s">
        <v>102</v>
      </c>
      <c r="F63" s="80" t="s">
        <v>102</v>
      </c>
      <c r="G63" s="80" t="s">
        <v>102</v>
      </c>
      <c r="H63" s="80" t="s">
        <v>102</v>
      </c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1:206" ht="20.149999999999999" customHeight="1" x14ac:dyDescent="0.35">
      <c r="E64" s="80" t="s">
        <v>102</v>
      </c>
      <c r="F64" s="80" t="s">
        <v>102</v>
      </c>
      <c r="G64" s="80" t="s">
        <v>102</v>
      </c>
      <c r="H64" s="80" t="s">
        <v>102</v>
      </c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5:18" ht="20.149999999999999" customHeight="1" x14ac:dyDescent="0.35">
      <c r="E65" s="80" t="s">
        <v>102</v>
      </c>
      <c r="F65" s="80" t="s">
        <v>102</v>
      </c>
      <c r="G65" s="80" t="s">
        <v>102</v>
      </c>
      <c r="H65" s="80" t="s">
        <v>102</v>
      </c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5:18" ht="20.149999999999999" customHeight="1" x14ac:dyDescent="0.35"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5:18" ht="20.149999999999999" customHeight="1" x14ac:dyDescent="0.35"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5:18" ht="20.149999999999999" customHeight="1" x14ac:dyDescent="0.35"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5:18" ht="20.149999999999999" customHeight="1" x14ac:dyDescent="0.35"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5:18" ht="20.149999999999999" customHeight="1" x14ac:dyDescent="0.35"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5:18" ht="20.149999999999999" customHeight="1" x14ac:dyDescent="0.35"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5:18" ht="20.149999999999999" customHeight="1" x14ac:dyDescent="0.35"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5:18" ht="20.149999999999999" customHeight="1" x14ac:dyDescent="0.35"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5:18" ht="20.149999999999999" customHeight="1" x14ac:dyDescent="0.35"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5:18" ht="20.149999999999999" customHeight="1" x14ac:dyDescent="0.35"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5:18" ht="20.149999999999999" customHeight="1" x14ac:dyDescent="0.35"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5:18" ht="20.149999999999999" customHeight="1" x14ac:dyDescent="0.35"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5:18" ht="20.149999999999999" customHeight="1" x14ac:dyDescent="0.35"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5:18" ht="20.149999999999999" customHeight="1" x14ac:dyDescent="0.35"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5:18" ht="20.149999999999999" customHeight="1" x14ac:dyDescent="0.35"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5:18" ht="20.149999999999999" customHeight="1" x14ac:dyDescent="0.35"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5:18" ht="20.149999999999999" customHeight="1" x14ac:dyDescent="0.35"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5:18" ht="20.149999999999999" customHeight="1" x14ac:dyDescent="0.35"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5:18" ht="20.149999999999999" customHeight="1" x14ac:dyDescent="0.35"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5:18" ht="20.149999999999999" customHeight="1" x14ac:dyDescent="0.35"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5:18" ht="20.149999999999999" customHeight="1" x14ac:dyDescent="0.35"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5:18" ht="20.149999999999999" customHeight="1" x14ac:dyDescent="0.35"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5:18" ht="20.149999999999999" customHeight="1" x14ac:dyDescent="0.35"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5:18" ht="20.149999999999999" customHeight="1" x14ac:dyDescent="0.35"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5:18" ht="20.149999999999999" customHeight="1" x14ac:dyDescent="0.35"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5:18" ht="20.149999999999999" customHeight="1" x14ac:dyDescent="0.35"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5:18" ht="20.149999999999999" customHeight="1" x14ac:dyDescent="0.35"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5:18" ht="20.149999999999999" customHeight="1" x14ac:dyDescent="0.35"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5:18" ht="20.149999999999999" customHeight="1" x14ac:dyDescent="0.35"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5:18" ht="20.149999999999999" customHeight="1" x14ac:dyDescent="0.35"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</row>
    <row r="96" spans="5:18" ht="20.149999999999999" customHeight="1" x14ac:dyDescent="0.35"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</row>
    <row r="97" spans="5:18" ht="20.149999999999999" customHeight="1" x14ac:dyDescent="0.35"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</row>
    <row r="98" spans="5:18" ht="20.149999999999999" customHeight="1" x14ac:dyDescent="0.35"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</row>
    <row r="99" spans="5:18" ht="20.149999999999999" customHeight="1" x14ac:dyDescent="0.35"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</row>
    <row r="100" spans="5:18" ht="20.149999999999999" customHeight="1" x14ac:dyDescent="0.35"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</row>
    <row r="101" spans="5:18" ht="20.149999999999999" customHeight="1" x14ac:dyDescent="0.35"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</row>
    <row r="102" spans="5:18" ht="20.149999999999999" customHeight="1" x14ac:dyDescent="0.35"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</row>
    <row r="103" spans="5:18" ht="20.149999999999999" customHeight="1" x14ac:dyDescent="0.35"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</row>
    <row r="104" spans="5:18" ht="20.149999999999999" customHeight="1" x14ac:dyDescent="0.35"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</row>
    <row r="105" spans="5:18" ht="20.149999999999999" customHeight="1" x14ac:dyDescent="0.35"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5:18" ht="20.149999999999999" customHeight="1" x14ac:dyDescent="0.35"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5:18" ht="20.149999999999999" customHeight="1" x14ac:dyDescent="0.35"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5:18" ht="20.149999999999999" customHeight="1" x14ac:dyDescent="0.35"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5:18" ht="20.149999999999999" customHeight="1" x14ac:dyDescent="0.35"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5:18" ht="20.149999999999999" customHeight="1" x14ac:dyDescent="0.35"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5:18" ht="20.149999999999999" customHeight="1" x14ac:dyDescent="0.35"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5:18" ht="20.149999999999999" customHeight="1" x14ac:dyDescent="0.35"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5:18" ht="20.149999999999999" customHeight="1" x14ac:dyDescent="0.35"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5:18" ht="20.149999999999999" customHeight="1" x14ac:dyDescent="0.35"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5:18" ht="20.149999999999999" customHeight="1" x14ac:dyDescent="0.35"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5:18" ht="20.149999999999999" customHeight="1" x14ac:dyDescent="0.35"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5:18" ht="20.149999999999999" customHeight="1" x14ac:dyDescent="0.35"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5:18" ht="20.149999999999999" customHeight="1" x14ac:dyDescent="0.35"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5:18" ht="20.149999999999999" customHeight="1" x14ac:dyDescent="0.35"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5:18" ht="20.149999999999999" customHeight="1" x14ac:dyDescent="0.35"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5:18" ht="20.149999999999999" customHeight="1" x14ac:dyDescent="0.35"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5:18" ht="20.149999999999999" customHeight="1" x14ac:dyDescent="0.35"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5:18" ht="20.149999999999999" customHeight="1" x14ac:dyDescent="0.35"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5:18" ht="20.149999999999999" customHeight="1" x14ac:dyDescent="0.35"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5:18" ht="20.149999999999999" customHeight="1" x14ac:dyDescent="0.35"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5:18" ht="20.149999999999999" customHeight="1" x14ac:dyDescent="0.35"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5:18" ht="20.149999999999999" customHeight="1" x14ac:dyDescent="0.35"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5:18" ht="20.149999999999999" customHeight="1" x14ac:dyDescent="0.35"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5:18" ht="20.149999999999999" customHeight="1" x14ac:dyDescent="0.35"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5:18" ht="20.149999999999999" customHeight="1" x14ac:dyDescent="0.35"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5:18" ht="20.149999999999999" customHeight="1" x14ac:dyDescent="0.35"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5:18" ht="20.149999999999999" customHeight="1" x14ac:dyDescent="0.35"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5:18" ht="20.149999999999999" customHeight="1" x14ac:dyDescent="0.35"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5:18" ht="20.149999999999999" customHeight="1" x14ac:dyDescent="0.35"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5:18" ht="20.149999999999999" customHeight="1" x14ac:dyDescent="0.35"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5:18" ht="20.149999999999999" customHeight="1" x14ac:dyDescent="0.35"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5:18" ht="20.149999999999999" customHeight="1" x14ac:dyDescent="0.35"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5:18" ht="20.149999999999999" customHeight="1" x14ac:dyDescent="0.35"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5:18" ht="20.149999999999999" customHeight="1" x14ac:dyDescent="0.35"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5:18" ht="20.149999999999999" customHeight="1" x14ac:dyDescent="0.35"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5:18" ht="20.149999999999999" customHeight="1" x14ac:dyDescent="0.35"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5:18" ht="20.149999999999999" customHeight="1" x14ac:dyDescent="0.35"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5:18" ht="20.149999999999999" customHeight="1" x14ac:dyDescent="0.35"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5:18" ht="20.149999999999999" customHeight="1" x14ac:dyDescent="0.35"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5:18" ht="20.149999999999999" customHeight="1" x14ac:dyDescent="0.35"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5:18" ht="20.149999999999999" customHeight="1" x14ac:dyDescent="0.35"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5:18" ht="20.149999999999999" customHeight="1" x14ac:dyDescent="0.35"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5:18" ht="20.149999999999999" customHeight="1" x14ac:dyDescent="0.35"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5:18" ht="20.149999999999999" customHeight="1" x14ac:dyDescent="0.35"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5:18" ht="20.149999999999999" customHeight="1" x14ac:dyDescent="0.35"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5:18" ht="20.149999999999999" customHeight="1" x14ac:dyDescent="0.35"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5:18" ht="20.149999999999999" customHeight="1" x14ac:dyDescent="0.35"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5:18" ht="20.149999999999999" customHeight="1" x14ac:dyDescent="0.35"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5:18" ht="20.149999999999999" customHeight="1" x14ac:dyDescent="0.35"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5:18" ht="20.149999999999999" customHeight="1" x14ac:dyDescent="0.35"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5:18" ht="20.149999999999999" customHeight="1" x14ac:dyDescent="0.35"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5:18" ht="20.149999999999999" customHeight="1" x14ac:dyDescent="0.35"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5:18" ht="20.149999999999999" customHeight="1" x14ac:dyDescent="0.35"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5:18" ht="20.149999999999999" customHeight="1" x14ac:dyDescent="0.35"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5:18" ht="20.149999999999999" customHeight="1" x14ac:dyDescent="0.35"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5:18" ht="20.149999999999999" customHeight="1" x14ac:dyDescent="0.35"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5:18" ht="20.149999999999999" customHeight="1" x14ac:dyDescent="0.35"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5:18" ht="20.149999999999999" customHeight="1" x14ac:dyDescent="0.35"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5:18" ht="20.149999999999999" customHeight="1" x14ac:dyDescent="0.35"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5:18" ht="20.149999999999999" customHeight="1" x14ac:dyDescent="0.35"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5:18" ht="20.149999999999999" customHeight="1" x14ac:dyDescent="0.35"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5:18" ht="20.149999999999999" customHeight="1" x14ac:dyDescent="0.35"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5:18" ht="20.149999999999999" customHeight="1" x14ac:dyDescent="0.35"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5:18" ht="20.149999999999999" customHeight="1" x14ac:dyDescent="0.35"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5:18" ht="20.149999999999999" customHeight="1" x14ac:dyDescent="0.35"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5:18" ht="20.149999999999999" customHeight="1" x14ac:dyDescent="0.35"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5:18" ht="20.149999999999999" customHeight="1" x14ac:dyDescent="0.35"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5:18" ht="20.149999999999999" customHeight="1" x14ac:dyDescent="0.35"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5:18" ht="20.149999999999999" customHeight="1" x14ac:dyDescent="0.35"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5:18" ht="20.149999999999999" customHeight="1" x14ac:dyDescent="0.35"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5:18" ht="20.149999999999999" customHeight="1" x14ac:dyDescent="0.35"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5:18" ht="20.149999999999999" customHeight="1" x14ac:dyDescent="0.35"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5:18" ht="20.149999999999999" customHeight="1" x14ac:dyDescent="0.35"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5:18" ht="20.149999999999999" customHeight="1" x14ac:dyDescent="0.35"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5:18" ht="20.149999999999999" customHeight="1" x14ac:dyDescent="0.35"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5:18" ht="20.149999999999999" customHeight="1" x14ac:dyDescent="0.35"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5:18" ht="20.149999999999999" customHeight="1" x14ac:dyDescent="0.35"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5:18" ht="20.149999999999999" customHeight="1" x14ac:dyDescent="0.35"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5:18" ht="20.149999999999999" customHeight="1" x14ac:dyDescent="0.35"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5:18" ht="20.149999999999999" customHeight="1" x14ac:dyDescent="0.35"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5:18" ht="20.149999999999999" customHeight="1" x14ac:dyDescent="0.35"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5:18" ht="20.149999999999999" customHeight="1" x14ac:dyDescent="0.35"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5:18" ht="20.149999999999999" customHeight="1" x14ac:dyDescent="0.35"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5:18" ht="20.149999999999999" customHeight="1" x14ac:dyDescent="0.35"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</row>
    <row r="190" spans="5:18" ht="20.149999999999999" customHeight="1" x14ac:dyDescent="0.35"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</row>
    <row r="191" spans="5:18" ht="20.149999999999999" customHeight="1" x14ac:dyDescent="0.35"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</row>
    <row r="192" spans="5:18" ht="20.149999999999999" customHeight="1" x14ac:dyDescent="0.35"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</row>
    <row r="193" spans="5:18" ht="20.149999999999999" customHeight="1" x14ac:dyDescent="0.35"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</row>
    <row r="194" spans="5:18" ht="20.149999999999999" customHeight="1" x14ac:dyDescent="0.35"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</row>
    <row r="195" spans="5:18" ht="20.149999999999999" customHeight="1" x14ac:dyDescent="0.35"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</row>
    <row r="196" spans="5:18" ht="20.149999999999999" customHeight="1" x14ac:dyDescent="0.35"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</row>
    <row r="197" spans="5:18" ht="20.149999999999999" customHeight="1" x14ac:dyDescent="0.35"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</row>
    <row r="198" spans="5:18" ht="20.149999999999999" customHeight="1" x14ac:dyDescent="0.35"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</row>
    <row r="199" spans="5:18" ht="20.149999999999999" customHeight="1" x14ac:dyDescent="0.35"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5:18" ht="20.149999999999999" customHeight="1" x14ac:dyDescent="0.35"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5:18" ht="20.149999999999999" customHeight="1" x14ac:dyDescent="0.35"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5:18" ht="20.149999999999999" customHeight="1" x14ac:dyDescent="0.35"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5:18" ht="20.149999999999999" customHeight="1" x14ac:dyDescent="0.35"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5:18" ht="20.149999999999999" customHeight="1" x14ac:dyDescent="0.35"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5:18" ht="20.149999999999999" customHeight="1" x14ac:dyDescent="0.35"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5:18" ht="20.149999999999999" customHeight="1" x14ac:dyDescent="0.35"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5:18" ht="20.149999999999999" customHeight="1" x14ac:dyDescent="0.35"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5:18" ht="20.149999999999999" customHeight="1" x14ac:dyDescent="0.35"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5:18" ht="20.149999999999999" customHeight="1" x14ac:dyDescent="0.35"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5:18" ht="20.149999999999999" customHeight="1" x14ac:dyDescent="0.35"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5:18" ht="20.149999999999999" customHeight="1" x14ac:dyDescent="0.35"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5:18" ht="20.149999999999999" customHeight="1" x14ac:dyDescent="0.35"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5:18" ht="20.149999999999999" customHeight="1" x14ac:dyDescent="0.35"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5:18" ht="20.149999999999999" customHeight="1" x14ac:dyDescent="0.35"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5:18" ht="20.149999999999999" customHeight="1" x14ac:dyDescent="0.35"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5:18" ht="20.149999999999999" customHeight="1" x14ac:dyDescent="0.35"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5:18" ht="20.149999999999999" customHeight="1" x14ac:dyDescent="0.35"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5:18" ht="20.149999999999999" customHeight="1" x14ac:dyDescent="0.35"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5:18" ht="20.149999999999999" customHeight="1" x14ac:dyDescent="0.35"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5:18" ht="20.149999999999999" customHeight="1" x14ac:dyDescent="0.35"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5:18" ht="20.149999999999999" customHeight="1" x14ac:dyDescent="0.35"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5:18" ht="20.149999999999999" customHeight="1" x14ac:dyDescent="0.35"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5:18" ht="20.149999999999999" customHeight="1" x14ac:dyDescent="0.35"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5:18" ht="20.149999999999999" customHeight="1" x14ac:dyDescent="0.35"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5:18" ht="20.149999999999999" customHeight="1" x14ac:dyDescent="0.35"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5:18" ht="20.149999999999999" customHeight="1" x14ac:dyDescent="0.35"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5:18" ht="20.149999999999999" customHeight="1" x14ac:dyDescent="0.35"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5:18" ht="20.149999999999999" customHeight="1" x14ac:dyDescent="0.35"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5:18" ht="20.149999999999999" customHeight="1" x14ac:dyDescent="0.35"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5:18" ht="20.149999999999999" customHeight="1" x14ac:dyDescent="0.35"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5:18" ht="20.149999999999999" customHeight="1" x14ac:dyDescent="0.35"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5:18" ht="20.149999999999999" customHeight="1" x14ac:dyDescent="0.35"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5:18" ht="20.149999999999999" customHeight="1" x14ac:dyDescent="0.35"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5:18" ht="20.149999999999999" customHeight="1" x14ac:dyDescent="0.35"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5:18" ht="20.149999999999999" customHeight="1" x14ac:dyDescent="0.35"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5:18" ht="20.149999999999999" customHeight="1" x14ac:dyDescent="0.35"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5:18" ht="20.149999999999999" customHeight="1" x14ac:dyDescent="0.35"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5:18" ht="20.149999999999999" customHeight="1" x14ac:dyDescent="0.35"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5:18" ht="20.149999999999999" customHeight="1" x14ac:dyDescent="0.35"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5:18" ht="20.149999999999999" customHeight="1" x14ac:dyDescent="0.35"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5:18" ht="20.149999999999999" customHeight="1" x14ac:dyDescent="0.35"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5:18" ht="20.149999999999999" customHeight="1" x14ac:dyDescent="0.35"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5:18" ht="20.149999999999999" customHeight="1" x14ac:dyDescent="0.35"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5:18" ht="20.149999999999999" customHeight="1" x14ac:dyDescent="0.35"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5:18" ht="20.149999999999999" customHeight="1" x14ac:dyDescent="0.35"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5:18" ht="20.149999999999999" customHeight="1" x14ac:dyDescent="0.35"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5:18" ht="20.149999999999999" customHeight="1" x14ac:dyDescent="0.35"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5:18" ht="20.149999999999999" customHeight="1" x14ac:dyDescent="0.35"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5:18" ht="20.149999999999999" customHeight="1" x14ac:dyDescent="0.35"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5:18" ht="20.149999999999999" customHeight="1" x14ac:dyDescent="0.35"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5:18" ht="20.149999999999999" customHeight="1" x14ac:dyDescent="0.35"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5:18" ht="20.149999999999999" customHeight="1" x14ac:dyDescent="0.35"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5:18" ht="20.149999999999999" customHeight="1" x14ac:dyDescent="0.35"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5:18" ht="20.149999999999999" customHeight="1" x14ac:dyDescent="0.35"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5:18" ht="20.149999999999999" customHeight="1" x14ac:dyDescent="0.35"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5:18" ht="20.149999999999999" customHeight="1" x14ac:dyDescent="0.35"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5:18" ht="20.149999999999999" customHeight="1" x14ac:dyDescent="0.35"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5:18" ht="20.149999999999999" customHeight="1" x14ac:dyDescent="0.35"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5:18" ht="20.149999999999999" customHeight="1" x14ac:dyDescent="0.35"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5:18" ht="20.149999999999999" customHeight="1" x14ac:dyDescent="0.35"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5:18" ht="20.149999999999999" customHeight="1" x14ac:dyDescent="0.35"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5:18" ht="20.149999999999999" customHeight="1" x14ac:dyDescent="0.35"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5:18" ht="20.149999999999999" customHeight="1" x14ac:dyDescent="0.35"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5:18" ht="20.149999999999999" customHeight="1" x14ac:dyDescent="0.35"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5:18" ht="20.149999999999999" customHeight="1" x14ac:dyDescent="0.35"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5:18" ht="20.149999999999999" customHeight="1" x14ac:dyDescent="0.35"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5:18" ht="20.149999999999999" customHeight="1" x14ac:dyDescent="0.35"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5:18" ht="20.149999999999999" customHeight="1" x14ac:dyDescent="0.35"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5:18" ht="20.149999999999999" customHeight="1" x14ac:dyDescent="0.35"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5:18" ht="20.149999999999999" customHeight="1" x14ac:dyDescent="0.35"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5:18" ht="20.149999999999999" customHeight="1" x14ac:dyDescent="0.35"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5:18" ht="20.149999999999999" customHeight="1" x14ac:dyDescent="0.35"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5:18" ht="20.149999999999999" customHeight="1" x14ac:dyDescent="0.35"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5:18" ht="20.149999999999999" customHeight="1" x14ac:dyDescent="0.35"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5:18" ht="20.149999999999999" customHeight="1" x14ac:dyDescent="0.35"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5:18" ht="20.149999999999999" customHeight="1" x14ac:dyDescent="0.35"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5:18" ht="20.149999999999999" customHeight="1" x14ac:dyDescent="0.35"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5:18" ht="20.149999999999999" customHeight="1" x14ac:dyDescent="0.35"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5:18" ht="20.149999999999999" customHeight="1" x14ac:dyDescent="0.35"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5:18" ht="20.149999999999999" customHeight="1" x14ac:dyDescent="0.35"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5:18" ht="20.149999999999999" customHeight="1" x14ac:dyDescent="0.35"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5:18" ht="20.149999999999999" customHeight="1" x14ac:dyDescent="0.35"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5:18" ht="20.149999999999999" customHeight="1" x14ac:dyDescent="0.35"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</row>
    <row r="284" spans="5:18" ht="20.149999999999999" customHeight="1" x14ac:dyDescent="0.35"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</row>
    <row r="285" spans="5:18" ht="20.149999999999999" customHeight="1" x14ac:dyDescent="0.35"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</row>
    <row r="286" spans="5:18" ht="20.149999999999999" customHeight="1" x14ac:dyDescent="0.35"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</row>
    <row r="287" spans="5:18" ht="20.149999999999999" customHeight="1" x14ac:dyDescent="0.35"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</row>
    <row r="288" spans="5:18" ht="20.149999999999999" customHeight="1" x14ac:dyDescent="0.35"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</row>
    <row r="289" spans="5:18" ht="20.149999999999999" customHeight="1" x14ac:dyDescent="0.35"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</row>
    <row r="290" spans="5:18" ht="20.149999999999999" customHeight="1" x14ac:dyDescent="0.35"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</row>
    <row r="291" spans="5:18" ht="20.149999999999999" customHeight="1" x14ac:dyDescent="0.35"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</row>
    <row r="292" spans="5:18" ht="20.149999999999999" customHeight="1" x14ac:dyDescent="0.35"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</row>
    <row r="293" spans="5:18" ht="20.149999999999999" customHeight="1" x14ac:dyDescent="0.35"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5:18" ht="20.149999999999999" customHeight="1" x14ac:dyDescent="0.35"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5:18" ht="20.149999999999999" customHeight="1" x14ac:dyDescent="0.35"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5:18" ht="20.149999999999999" customHeight="1" x14ac:dyDescent="0.35"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5:18" ht="20.149999999999999" customHeight="1" x14ac:dyDescent="0.35"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5:18" ht="20.149999999999999" customHeight="1" x14ac:dyDescent="0.35"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5:18" ht="20.149999999999999" customHeight="1" x14ac:dyDescent="0.35"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5:18" ht="20.149999999999999" customHeight="1" x14ac:dyDescent="0.35"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5:18" ht="20.149999999999999" customHeight="1" x14ac:dyDescent="0.35"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5:18" ht="20.149999999999999" customHeight="1" x14ac:dyDescent="0.35"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5:18" ht="20.149999999999999" customHeight="1" x14ac:dyDescent="0.35"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5:18" ht="20.149999999999999" customHeight="1" x14ac:dyDescent="0.35"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5:18" ht="20.149999999999999" customHeight="1" x14ac:dyDescent="0.35"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5:18" ht="20.149999999999999" customHeight="1" x14ac:dyDescent="0.35"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5:18" ht="20.149999999999999" customHeight="1" x14ac:dyDescent="0.35"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5:18" ht="20.149999999999999" customHeight="1" x14ac:dyDescent="0.35"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5:18" ht="20.149999999999999" customHeight="1" x14ac:dyDescent="0.35"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5:18" ht="20.149999999999999" customHeight="1" x14ac:dyDescent="0.35"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5:18" ht="20.149999999999999" customHeight="1" x14ac:dyDescent="0.35"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5:18" ht="20.149999999999999" customHeight="1" x14ac:dyDescent="0.35"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5:18" ht="20.149999999999999" customHeight="1" x14ac:dyDescent="0.35"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5:18" ht="20.149999999999999" customHeight="1" x14ac:dyDescent="0.35"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5:18" ht="20.149999999999999" customHeight="1" x14ac:dyDescent="0.35"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5:18" ht="20.149999999999999" customHeight="1" x14ac:dyDescent="0.35"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5:18" ht="20.149999999999999" customHeight="1" x14ac:dyDescent="0.35"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5:18" ht="20.149999999999999" customHeight="1" x14ac:dyDescent="0.35"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5:18" ht="20.149999999999999" customHeight="1" x14ac:dyDescent="0.35"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5:18" ht="20.149999999999999" customHeight="1" x14ac:dyDescent="0.35"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5:18" ht="20.149999999999999" customHeight="1" x14ac:dyDescent="0.35"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5:18" ht="20.149999999999999" customHeight="1" x14ac:dyDescent="0.35"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5:18" ht="20.149999999999999" customHeight="1" x14ac:dyDescent="0.35"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5:18" ht="20.149999999999999" customHeight="1" x14ac:dyDescent="0.35"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5:18" ht="20.149999999999999" customHeight="1" x14ac:dyDescent="0.35"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5:18" ht="20.149999999999999" customHeight="1" x14ac:dyDescent="0.35"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5:18" ht="20.149999999999999" customHeight="1" x14ac:dyDescent="0.35"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5:18" ht="20.149999999999999" customHeight="1" x14ac:dyDescent="0.35"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5:18" ht="20.149999999999999" customHeight="1" x14ac:dyDescent="0.35"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5:18" ht="20.149999999999999" customHeight="1" x14ac:dyDescent="0.35"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5:18" ht="20.149999999999999" customHeight="1" x14ac:dyDescent="0.35"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5:18" ht="20.149999999999999" customHeight="1" x14ac:dyDescent="0.35"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5:18" ht="20.149999999999999" customHeight="1" x14ac:dyDescent="0.35"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5:18" ht="20.149999999999999" customHeight="1" x14ac:dyDescent="0.35"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5:18" ht="20.149999999999999" customHeight="1" x14ac:dyDescent="0.35"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5:18" ht="20.149999999999999" customHeight="1" x14ac:dyDescent="0.35"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5:18" ht="20.149999999999999" customHeight="1" x14ac:dyDescent="0.35"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5:18" ht="20.149999999999999" customHeight="1" x14ac:dyDescent="0.35"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5:18" ht="20.149999999999999" customHeight="1" x14ac:dyDescent="0.35"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5:18" ht="20.149999999999999" customHeight="1" x14ac:dyDescent="0.35"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5:18" ht="20.149999999999999" customHeight="1" x14ac:dyDescent="0.35"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5:18" ht="20.149999999999999" customHeight="1" x14ac:dyDescent="0.35"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5:18" ht="20.149999999999999" customHeight="1" x14ac:dyDescent="0.35"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5:18" ht="20.149999999999999" customHeight="1" x14ac:dyDescent="0.35"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5:18" ht="20.149999999999999" customHeight="1" x14ac:dyDescent="0.35"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5:18" ht="20.149999999999999" customHeight="1" x14ac:dyDescent="0.35"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5:18" ht="20.149999999999999" customHeight="1" x14ac:dyDescent="0.35"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5:18" ht="20.149999999999999" customHeight="1" x14ac:dyDescent="0.35"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</sheetData>
  <printOptions horizontalCentered="1"/>
  <pageMargins left="0.25" right="0.25" top="0.5" bottom="0.5" header="0.3" footer="0.3"/>
  <pageSetup scale="46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Button 1">
              <controlPr defaultSize="0" print="0" autoFill="0" autoPict="0" macro="[0]!pdfPage7">
                <anchor moveWithCells="1" sizeWithCells="1">
                  <from>
                    <xdr:col>0</xdr:col>
                    <xdr:colOff>50800</xdr:colOff>
                    <xdr:row>0</xdr:row>
                    <xdr:rowOff>19050</xdr:rowOff>
                  </from>
                  <to>
                    <xdr:col>0</xdr:col>
                    <xdr:colOff>69850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C3CAA-87D3-4027-B0C9-78E4821503E8}">
  <sheetPr codeName="Sheet17">
    <pageSetUpPr fitToPage="1"/>
  </sheetPr>
  <dimension ref="A1:HW348"/>
  <sheetViews>
    <sheetView zoomScale="70" zoomScaleNormal="70" zoomScaleSheetLayoutView="125" workbookViewId="0">
      <selection activeCell="C24" sqref="C24"/>
    </sheetView>
  </sheetViews>
  <sheetFormatPr defaultColWidth="9.58203125" defaultRowHeight="20.149999999999999" customHeight="1" x14ac:dyDescent="0.35"/>
  <cols>
    <col min="1" max="1" width="40.58203125" style="58" customWidth="1"/>
    <col min="2" max="10" width="18.83203125" customWidth="1"/>
  </cols>
  <sheetData>
    <row r="1" spans="1:231" s="2" customFormat="1" ht="21" x14ac:dyDescent="0.55000000000000004">
      <c r="A1" s="286" t="str">
        <f>Page_1!A1</f>
        <v>IRR 2023 Sch A-13 F.Z25.XLSM</v>
      </c>
      <c r="B1" s="263"/>
      <c r="C1" s="263"/>
      <c r="D1" s="268"/>
      <c r="E1" s="263"/>
      <c r="F1" s="263"/>
      <c r="G1" s="263"/>
      <c r="H1" s="263"/>
      <c r="I1" s="263"/>
      <c r="J1" s="264"/>
      <c r="K1" s="1"/>
      <c r="L1" s="1"/>
    </row>
    <row r="2" spans="1:231" s="2" customFormat="1" ht="21" x14ac:dyDescent="0.55000000000000004">
      <c r="A2" s="265" t="str">
        <f>Page_1!A2</f>
        <v>09/20/2022</v>
      </c>
      <c r="B2" s="262"/>
      <c r="C2" s="268"/>
      <c r="D2" s="262"/>
      <c r="E2" s="268"/>
      <c r="F2" s="268"/>
      <c r="G2" s="268"/>
      <c r="H2" s="268"/>
      <c r="I2" s="268"/>
      <c r="J2" s="294"/>
      <c r="K2" s="1"/>
      <c r="L2" s="1"/>
    </row>
    <row r="3" spans="1:231" s="2" customFormat="1" ht="21" x14ac:dyDescent="0.55000000000000004">
      <c r="A3" s="286" t="str">
        <f>Page_1!A3</f>
        <v>CENTRAL VALLEY PROJECT</v>
      </c>
      <c r="B3" s="262"/>
      <c r="C3" s="268"/>
      <c r="D3" s="262"/>
      <c r="E3" s="268"/>
      <c r="F3" s="268"/>
      <c r="G3" s="268"/>
      <c r="H3" s="268"/>
      <c r="I3" s="268"/>
      <c r="J3" s="252"/>
      <c r="K3" s="1"/>
      <c r="L3" s="1"/>
    </row>
    <row r="4" spans="1:231" s="2" customFormat="1" ht="84" x14ac:dyDescent="0.55000000000000004">
      <c r="A4" s="286" t="str">
        <f>Page_1!A4</f>
        <v>SCHEDULE OF HISTORICAL (1981-2021) &amp; PROJECTED (2022-2030) IRRIGATION WATER DELIVERIES (IN ACRE FEET)</v>
      </c>
      <c r="B4" s="262"/>
      <c r="C4" s="268"/>
      <c r="D4" s="262"/>
      <c r="E4" s="268"/>
      <c r="F4" s="268"/>
      <c r="G4" s="268"/>
      <c r="H4" s="268"/>
      <c r="I4" s="268"/>
      <c r="J4" s="252"/>
      <c r="K4" s="1"/>
      <c r="L4" s="1"/>
    </row>
    <row r="5" spans="1:231" s="2" customFormat="1" ht="63" x14ac:dyDescent="0.55000000000000004">
      <c r="A5" s="286" t="str">
        <f>Page_1!A5</f>
        <v>FOR CALCULATION OF INDIVIDUAL CONTRACTOR PRORATED CONSTRUCTION COSTS AND RATE</v>
      </c>
      <c r="B5" s="262"/>
      <c r="C5" s="262"/>
      <c r="D5" s="262"/>
      <c r="E5" s="262"/>
      <c r="F5" s="262"/>
      <c r="G5" s="262"/>
      <c r="H5" s="262"/>
      <c r="I5" s="262"/>
      <c r="J5" s="262"/>
      <c r="K5" s="1"/>
      <c r="L5" s="1"/>
    </row>
    <row r="6" spans="1:231" s="86" customFormat="1" ht="90" customHeight="1" x14ac:dyDescent="0.35">
      <c r="A6" s="370" t="s">
        <v>34</v>
      </c>
      <c r="B6" s="366" t="s">
        <v>423</v>
      </c>
      <c r="C6" s="363" t="s">
        <v>424</v>
      </c>
      <c r="D6" s="364" t="s">
        <v>425</v>
      </c>
      <c r="E6" s="371" t="s">
        <v>134</v>
      </c>
      <c r="F6" s="372" t="s">
        <v>135</v>
      </c>
      <c r="G6" s="373" t="s">
        <v>136</v>
      </c>
      <c r="H6" s="371" t="s">
        <v>137</v>
      </c>
      <c r="I6" s="372" t="s">
        <v>138</v>
      </c>
      <c r="J6" s="374" t="s">
        <v>139</v>
      </c>
      <c r="K6" s="369"/>
      <c r="L6" s="85"/>
    </row>
    <row r="7" spans="1:231" ht="17.5" x14ac:dyDescent="0.45">
      <c r="A7" s="269" t="s">
        <v>42</v>
      </c>
      <c r="B7" s="242">
        <v>145778</v>
      </c>
      <c r="C7" s="242">
        <v>4470</v>
      </c>
      <c r="D7" s="242">
        <f t="shared" ref="D7:D38" si="0">SUM(B7:C7)</f>
        <v>150248</v>
      </c>
      <c r="E7" s="242">
        <f>12294-Page_25!E12</f>
        <v>11866.382608695652</v>
      </c>
      <c r="F7" s="242">
        <v>1399</v>
      </c>
      <c r="G7" s="242">
        <f t="shared" ref="G7:G38" si="1">SUM(E7:F7)</f>
        <v>13265.382608695652</v>
      </c>
      <c r="H7" s="242">
        <v>25209</v>
      </c>
      <c r="I7" s="242">
        <v>4245</v>
      </c>
      <c r="J7" s="242">
        <f t="shared" ref="J7:J38" si="2">SUM(H7:I7)</f>
        <v>29454</v>
      </c>
      <c r="K7" s="57"/>
      <c r="L7" s="57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</row>
    <row r="8" spans="1:231" ht="17.5" x14ac:dyDescent="0.45">
      <c r="A8" s="269" t="s">
        <v>43</v>
      </c>
      <c r="B8" s="242">
        <v>74556</v>
      </c>
      <c r="C8" s="242">
        <v>84930</v>
      </c>
      <c r="D8" s="242">
        <f t="shared" si="0"/>
        <v>159486</v>
      </c>
      <c r="E8" s="242">
        <f>9241-Page_25!E13</f>
        <v>8919.5739130434777</v>
      </c>
      <c r="F8" s="242">
        <v>22040</v>
      </c>
      <c r="G8" s="242">
        <f t="shared" si="1"/>
        <v>30959.573913043478</v>
      </c>
      <c r="H8" s="242">
        <v>23000</v>
      </c>
      <c r="I8" s="242">
        <v>85211</v>
      </c>
      <c r="J8" s="242">
        <f t="shared" si="2"/>
        <v>108211</v>
      </c>
      <c r="K8" s="57"/>
      <c r="L8" s="57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</row>
    <row r="9" spans="1:231" ht="17.5" x14ac:dyDescent="0.45">
      <c r="A9" s="269" t="s">
        <v>44</v>
      </c>
      <c r="B9" s="242">
        <v>107765</v>
      </c>
      <c r="C9" s="242">
        <v>74500</v>
      </c>
      <c r="D9" s="242">
        <f t="shared" si="0"/>
        <v>182265</v>
      </c>
      <c r="E9" s="242">
        <f>12715-Page_25!E14</f>
        <v>12272.739130434782</v>
      </c>
      <c r="F9" s="242">
        <v>7283</v>
      </c>
      <c r="G9" s="242">
        <f t="shared" si="1"/>
        <v>19555.739130434784</v>
      </c>
      <c r="H9" s="242">
        <v>661</v>
      </c>
      <c r="I9" s="242">
        <v>75000</v>
      </c>
      <c r="J9" s="242">
        <f t="shared" si="2"/>
        <v>75661</v>
      </c>
      <c r="K9" s="57"/>
      <c r="L9" s="57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</row>
    <row r="10" spans="1:231" ht="17.5" x14ac:dyDescent="0.45">
      <c r="A10" s="269" t="s">
        <v>45</v>
      </c>
      <c r="B10" s="242">
        <v>136305</v>
      </c>
      <c r="C10" s="242">
        <v>35760</v>
      </c>
      <c r="D10" s="242">
        <f t="shared" si="0"/>
        <v>172065</v>
      </c>
      <c r="E10" s="242">
        <f>11879-Page_25!E15</f>
        <v>11465.817391304348</v>
      </c>
      <c r="F10" s="242">
        <v>9120</v>
      </c>
      <c r="G10" s="242">
        <f t="shared" si="1"/>
        <v>20585.81739130435</v>
      </c>
      <c r="H10" s="242">
        <v>39339</v>
      </c>
      <c r="I10" s="242">
        <v>30750</v>
      </c>
      <c r="J10" s="242">
        <f t="shared" si="2"/>
        <v>70089</v>
      </c>
      <c r="K10" s="57"/>
      <c r="L10" s="57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</row>
    <row r="11" spans="1:231" ht="17.5" x14ac:dyDescent="0.45">
      <c r="A11" s="269" t="s">
        <v>46</v>
      </c>
      <c r="B11" s="242">
        <v>120890</v>
      </c>
      <c r="C11" s="242">
        <v>9126</v>
      </c>
      <c r="D11" s="242">
        <f t="shared" si="0"/>
        <v>130016</v>
      </c>
      <c r="E11" s="242">
        <f>11935-Page_25!E16</f>
        <v>11519.869565217392</v>
      </c>
      <c r="F11" s="242">
        <v>2280</v>
      </c>
      <c r="G11" s="242">
        <f t="shared" si="1"/>
        <v>13799.869565217392</v>
      </c>
      <c r="H11" s="242">
        <v>16785</v>
      </c>
      <c r="I11" s="242">
        <v>10946</v>
      </c>
      <c r="J11" s="242">
        <f t="shared" si="2"/>
        <v>27731</v>
      </c>
      <c r="K11" s="57"/>
      <c r="L11" s="57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</row>
    <row r="12" spans="1:231" ht="17.5" x14ac:dyDescent="0.45">
      <c r="A12" s="269" t="s">
        <v>47</v>
      </c>
      <c r="B12" s="242">
        <v>88435</v>
      </c>
      <c r="C12" s="242">
        <v>84429</v>
      </c>
      <c r="D12" s="242">
        <f t="shared" si="0"/>
        <v>172864</v>
      </c>
      <c r="E12" s="242">
        <f>9841-Page_25!E17</f>
        <v>9498.7043478260875</v>
      </c>
      <c r="F12" s="242">
        <v>19380</v>
      </c>
      <c r="G12" s="242">
        <f t="shared" si="1"/>
        <v>28878.704347826089</v>
      </c>
      <c r="H12" s="242">
        <v>215</v>
      </c>
      <c r="I12" s="242">
        <v>79703</v>
      </c>
      <c r="J12" s="242">
        <f t="shared" si="2"/>
        <v>79918</v>
      </c>
      <c r="K12" s="57"/>
      <c r="L12" s="57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</row>
    <row r="13" spans="1:231" ht="17.5" x14ac:dyDescent="0.45">
      <c r="A13" s="269" t="s">
        <v>48</v>
      </c>
      <c r="B13" s="242">
        <v>111205</v>
      </c>
      <c r="C13" s="242">
        <v>49</v>
      </c>
      <c r="D13" s="242">
        <f t="shared" si="0"/>
        <v>111254</v>
      </c>
      <c r="E13" s="242">
        <f>10945-Page_25!E18</f>
        <v>10564.304347826086</v>
      </c>
      <c r="F13" s="242">
        <v>380</v>
      </c>
      <c r="G13" s="242">
        <f t="shared" si="1"/>
        <v>10944.304347826086</v>
      </c>
      <c r="H13" s="242">
        <v>20406</v>
      </c>
      <c r="I13" s="242">
        <v>1601</v>
      </c>
      <c r="J13" s="242">
        <f t="shared" si="2"/>
        <v>22007</v>
      </c>
      <c r="K13" s="57"/>
      <c r="L13" s="57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</row>
    <row r="14" spans="1:231" ht="17.5" x14ac:dyDescent="0.45">
      <c r="A14" s="269" t="s">
        <v>49</v>
      </c>
      <c r="B14" s="242">
        <v>97543</v>
      </c>
      <c r="C14" s="248">
        <v>0</v>
      </c>
      <c r="D14" s="242">
        <f t="shared" si="0"/>
        <v>97543</v>
      </c>
      <c r="E14" s="242">
        <f>10474-Page_25!E19</f>
        <v>10109.686956521738</v>
      </c>
      <c r="F14" s="248">
        <v>0</v>
      </c>
      <c r="G14" s="242">
        <f t="shared" si="1"/>
        <v>10109.686956521738</v>
      </c>
      <c r="H14" s="242">
        <v>14260</v>
      </c>
      <c r="I14" s="243">
        <v>0</v>
      </c>
      <c r="J14" s="242">
        <f t="shared" si="2"/>
        <v>14260</v>
      </c>
      <c r="K14" s="57"/>
      <c r="L14" s="57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</row>
    <row r="15" spans="1:231" ht="17.5" x14ac:dyDescent="0.45">
      <c r="A15" s="269" t="s">
        <v>50</v>
      </c>
      <c r="B15" s="242">
        <v>94873</v>
      </c>
      <c r="C15" s="248">
        <v>0</v>
      </c>
      <c r="D15" s="242">
        <f t="shared" si="0"/>
        <v>94873</v>
      </c>
      <c r="E15" s="242">
        <f>10771-Page_25!E20</f>
        <v>10396.35652173913</v>
      </c>
      <c r="F15" s="248">
        <v>0</v>
      </c>
      <c r="G15" s="242">
        <f t="shared" si="1"/>
        <v>10396.35652173913</v>
      </c>
      <c r="H15" s="242">
        <v>9322</v>
      </c>
      <c r="I15" s="243">
        <v>0</v>
      </c>
      <c r="J15" s="242">
        <f t="shared" si="2"/>
        <v>9322</v>
      </c>
      <c r="K15" s="57"/>
      <c r="L15" s="57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</row>
    <row r="16" spans="1:231" ht="17.5" x14ac:dyDescent="0.45">
      <c r="A16" s="269" t="s">
        <v>51</v>
      </c>
      <c r="B16" s="242">
        <v>85194</v>
      </c>
      <c r="C16" s="248">
        <v>0</v>
      </c>
      <c r="D16" s="242">
        <f t="shared" si="0"/>
        <v>85194</v>
      </c>
      <c r="E16" s="242">
        <f>8153-Page_25!E21</f>
        <v>7869.4173913043478</v>
      </c>
      <c r="F16" s="248">
        <v>0</v>
      </c>
      <c r="G16" s="242">
        <f t="shared" si="1"/>
        <v>7869.4173913043478</v>
      </c>
      <c r="H16" s="242">
        <v>2934</v>
      </c>
      <c r="I16" s="243">
        <v>0</v>
      </c>
      <c r="J16" s="242">
        <f t="shared" si="2"/>
        <v>2934</v>
      </c>
      <c r="K16" s="57"/>
      <c r="L16" s="57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</row>
    <row r="17" spans="1:231" ht="17.5" x14ac:dyDescent="0.45">
      <c r="A17" s="269" t="s">
        <v>52</v>
      </c>
      <c r="B17" s="242">
        <v>99320</v>
      </c>
      <c r="C17" s="248">
        <v>0</v>
      </c>
      <c r="D17" s="242">
        <f t="shared" si="0"/>
        <v>99320</v>
      </c>
      <c r="E17" s="242">
        <f>11935-Page_25!E22</f>
        <v>11519.869565217392</v>
      </c>
      <c r="F17" s="248">
        <v>0</v>
      </c>
      <c r="G17" s="242">
        <f t="shared" si="1"/>
        <v>11519.869565217392</v>
      </c>
      <c r="H17" s="242">
        <v>7238</v>
      </c>
      <c r="I17" s="243">
        <v>0</v>
      </c>
      <c r="J17" s="242">
        <f t="shared" si="2"/>
        <v>7238</v>
      </c>
      <c r="K17" s="57"/>
      <c r="L17" s="57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</row>
    <row r="18" spans="1:231" ht="17.5" x14ac:dyDescent="0.45">
      <c r="A18" s="269" t="s">
        <v>53</v>
      </c>
      <c r="B18" s="242">
        <v>100028</v>
      </c>
      <c r="C18" s="248">
        <v>0</v>
      </c>
      <c r="D18" s="242">
        <f t="shared" si="0"/>
        <v>100028</v>
      </c>
      <c r="E18" s="242">
        <f>9496-Page_25!E23</f>
        <v>9165.7043478260875</v>
      </c>
      <c r="F18" s="248">
        <v>0</v>
      </c>
      <c r="G18" s="242">
        <f t="shared" si="1"/>
        <v>9165.7043478260875</v>
      </c>
      <c r="H18" s="242">
        <v>2049</v>
      </c>
      <c r="I18" s="243">
        <v>0</v>
      </c>
      <c r="J18" s="242">
        <f t="shared" si="2"/>
        <v>2049</v>
      </c>
      <c r="K18" s="57"/>
      <c r="L18" s="57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  <c r="AM18" s="48"/>
      <c r="AN18" s="48"/>
      <c r="AO18" s="48"/>
      <c r="AP18" s="48"/>
      <c r="AQ18" s="48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</row>
    <row r="19" spans="1:231" ht="17.5" x14ac:dyDescent="0.45">
      <c r="A19" s="269" t="s">
        <v>54</v>
      </c>
      <c r="B19" s="242">
        <v>92059</v>
      </c>
      <c r="C19" s="242">
        <v>67050</v>
      </c>
      <c r="D19" s="242">
        <f t="shared" si="0"/>
        <v>159109</v>
      </c>
      <c r="E19" s="242">
        <f>11342-Page_25!E24</f>
        <v>10947.495652173913</v>
      </c>
      <c r="F19" s="242">
        <v>17100</v>
      </c>
      <c r="G19" s="242">
        <f t="shared" si="1"/>
        <v>28047.495652173915</v>
      </c>
      <c r="H19" s="242">
        <v>505</v>
      </c>
      <c r="I19" s="242">
        <v>67500</v>
      </c>
      <c r="J19" s="242">
        <f t="shared" si="2"/>
        <v>68005</v>
      </c>
      <c r="K19" s="57"/>
      <c r="L19" s="57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  <c r="AM19" s="48"/>
      <c r="AN19" s="48"/>
      <c r="AO19" s="48"/>
      <c r="AP19" s="48"/>
      <c r="AQ19" s="48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</row>
    <row r="20" spans="1:231" ht="17.5" x14ac:dyDescent="0.45">
      <c r="A20" s="269" t="s">
        <v>55</v>
      </c>
      <c r="B20" s="242">
        <v>104223</v>
      </c>
      <c r="C20" s="248">
        <v>0</v>
      </c>
      <c r="D20" s="242">
        <f t="shared" si="0"/>
        <v>104223</v>
      </c>
      <c r="E20" s="242">
        <f>10058-Page_25!E25</f>
        <v>9708.1565217391308</v>
      </c>
      <c r="F20" s="248">
        <v>0</v>
      </c>
      <c r="G20" s="242">
        <f t="shared" si="1"/>
        <v>9708.1565217391308</v>
      </c>
      <c r="H20" s="242">
        <v>10886</v>
      </c>
      <c r="I20" s="243">
        <v>0</v>
      </c>
      <c r="J20" s="242">
        <f t="shared" si="2"/>
        <v>10886</v>
      </c>
      <c r="K20" s="57"/>
      <c r="L20" s="57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</row>
    <row r="21" spans="1:231" ht="17.5" x14ac:dyDescent="0.45">
      <c r="A21" s="269" t="s">
        <v>56</v>
      </c>
      <c r="B21" s="242">
        <v>34195</v>
      </c>
      <c r="C21" s="242">
        <v>39811</v>
      </c>
      <c r="D21" s="242">
        <f t="shared" si="0"/>
        <v>74006</v>
      </c>
      <c r="E21" s="242">
        <f>8660-Page_25!E26</f>
        <v>8358.782608695652</v>
      </c>
      <c r="F21" s="242">
        <v>19000</v>
      </c>
      <c r="G21" s="242">
        <f t="shared" si="1"/>
        <v>27358.782608695652</v>
      </c>
      <c r="H21" s="242">
        <v>-9376</v>
      </c>
      <c r="I21" s="242">
        <v>8014</v>
      </c>
      <c r="J21" s="242">
        <f t="shared" si="2"/>
        <v>-1362</v>
      </c>
      <c r="K21" s="57"/>
      <c r="L21" s="57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48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</row>
    <row r="22" spans="1:231" ht="17.5" x14ac:dyDescent="0.45">
      <c r="A22" s="269" t="s">
        <v>57</v>
      </c>
      <c r="B22" s="242">
        <v>144493</v>
      </c>
      <c r="C22" s="242">
        <v>71960</v>
      </c>
      <c r="D22" s="242">
        <f t="shared" si="0"/>
        <v>216453</v>
      </c>
      <c r="E22" s="242">
        <f>12937-Page_25!E27</f>
        <v>12487.017391304347</v>
      </c>
      <c r="F22" s="242">
        <v>11020</v>
      </c>
      <c r="G22" s="242">
        <f t="shared" si="1"/>
        <v>23507.017391304347</v>
      </c>
      <c r="H22" s="243">
        <v>0</v>
      </c>
      <c r="I22" s="242">
        <v>101874</v>
      </c>
      <c r="J22" s="242">
        <f t="shared" si="2"/>
        <v>101874</v>
      </c>
      <c r="K22" s="57"/>
      <c r="L22" s="57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</row>
    <row r="23" spans="1:231" ht="17.5" x14ac:dyDescent="0.45">
      <c r="A23" s="269" t="s">
        <v>58</v>
      </c>
      <c r="B23" s="242">
        <v>103534</v>
      </c>
      <c r="C23" s="242">
        <v>47815</v>
      </c>
      <c r="D23" s="244">
        <f t="shared" si="0"/>
        <v>151349</v>
      </c>
      <c r="E23" s="242">
        <f>11336-Page_25!E28</f>
        <v>10941.704347826088</v>
      </c>
      <c r="F23" s="242">
        <v>5700</v>
      </c>
      <c r="G23" s="244">
        <f t="shared" si="1"/>
        <v>16641.704347826089</v>
      </c>
      <c r="H23" s="243">
        <v>0</v>
      </c>
      <c r="I23" s="242">
        <v>41038</v>
      </c>
      <c r="J23" s="242">
        <f t="shared" si="2"/>
        <v>41038</v>
      </c>
      <c r="K23" s="57"/>
      <c r="L23" s="57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  <c r="AM23" s="48"/>
      <c r="AN23" s="48"/>
      <c r="AO23" s="48"/>
      <c r="AP23" s="48"/>
      <c r="AQ23" s="48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</row>
    <row r="24" spans="1:231" ht="17.5" x14ac:dyDescent="0.45">
      <c r="A24" s="269" t="s">
        <v>59</v>
      </c>
      <c r="B24" s="242">
        <v>39775</v>
      </c>
      <c r="C24" s="242">
        <v>5382</v>
      </c>
      <c r="D24" s="244">
        <f t="shared" si="0"/>
        <v>45157</v>
      </c>
      <c r="E24" s="242">
        <f>10299-Page_25!E29</f>
        <v>9940.7739130434784</v>
      </c>
      <c r="F24" s="242">
        <v>3586</v>
      </c>
      <c r="G24" s="244">
        <f t="shared" si="1"/>
        <v>13526.773913043478</v>
      </c>
      <c r="H24" s="243">
        <v>0</v>
      </c>
      <c r="I24" s="242">
        <v>-333</v>
      </c>
      <c r="J24" s="242">
        <f t="shared" si="2"/>
        <v>-333</v>
      </c>
      <c r="K24" s="57"/>
      <c r="L24" s="57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</row>
    <row r="25" spans="1:231" ht="17.5" x14ac:dyDescent="0.45">
      <c r="A25" s="269" t="s">
        <v>111</v>
      </c>
      <c r="B25" s="242">
        <v>71929</v>
      </c>
      <c r="C25" s="242">
        <v>2068</v>
      </c>
      <c r="D25" s="244">
        <f t="shared" si="0"/>
        <v>73997</v>
      </c>
      <c r="E25" s="242">
        <f>11774-Page_25!E30</f>
        <v>11364.46956521739</v>
      </c>
      <c r="F25" s="242">
        <v>3800</v>
      </c>
      <c r="G25" s="244">
        <f t="shared" si="1"/>
        <v>15164.46956521739</v>
      </c>
      <c r="H25" s="243">
        <v>0</v>
      </c>
      <c r="I25" s="242">
        <v>27021</v>
      </c>
      <c r="J25" s="242">
        <f t="shared" si="2"/>
        <v>27021</v>
      </c>
      <c r="K25" s="57"/>
      <c r="L25" s="57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  <c r="AM25" s="48"/>
      <c r="AN25" s="48"/>
      <c r="AO25" s="48"/>
      <c r="AP25" s="48"/>
      <c r="AQ25" s="48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</row>
    <row r="26" spans="1:231" ht="17.5" x14ac:dyDescent="0.45">
      <c r="A26" s="269" t="s">
        <v>60</v>
      </c>
      <c r="B26" s="242">
        <v>206775</v>
      </c>
      <c r="C26" s="242">
        <v>42597</v>
      </c>
      <c r="D26" s="244">
        <f t="shared" si="0"/>
        <v>249372</v>
      </c>
      <c r="E26" s="242">
        <f>12245-Page_25!E31</f>
        <v>11819.08695652174</v>
      </c>
      <c r="F26" s="242">
        <v>4639</v>
      </c>
      <c r="G26" s="244">
        <f t="shared" si="1"/>
        <v>16458.08695652174</v>
      </c>
      <c r="H26" s="243">
        <v>0</v>
      </c>
      <c r="I26" s="242">
        <v>-3362</v>
      </c>
      <c r="J26" s="242">
        <f t="shared" si="2"/>
        <v>-3362</v>
      </c>
      <c r="K26" s="57"/>
      <c r="L26" s="57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</row>
    <row r="27" spans="1:231" ht="17.5" x14ac:dyDescent="0.45">
      <c r="A27" s="270" t="s">
        <v>61</v>
      </c>
      <c r="B27" s="242">
        <v>105740</v>
      </c>
      <c r="C27" s="242">
        <v>6230</v>
      </c>
      <c r="D27" s="244">
        <f t="shared" si="0"/>
        <v>111970</v>
      </c>
      <c r="E27" s="242">
        <f>12170-Page_25!E32</f>
        <v>11746.695652173914</v>
      </c>
      <c r="F27" s="242">
        <v>1330</v>
      </c>
      <c r="G27" s="244">
        <f t="shared" si="1"/>
        <v>13076.695652173914</v>
      </c>
      <c r="H27" s="243">
        <v>0</v>
      </c>
      <c r="I27" s="242">
        <v>3335</v>
      </c>
      <c r="J27" s="242">
        <f t="shared" si="2"/>
        <v>3335</v>
      </c>
      <c r="K27" s="57"/>
      <c r="L27" s="57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  <c r="AM27" s="48"/>
      <c r="AN27" s="48"/>
      <c r="AO27" s="48"/>
      <c r="AP27" s="48"/>
      <c r="AQ27" s="48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</row>
    <row r="28" spans="1:231" ht="17.5" x14ac:dyDescent="0.45">
      <c r="A28" s="270" t="s">
        <v>62</v>
      </c>
      <c r="B28" s="242">
        <v>119156</v>
      </c>
      <c r="C28" s="242">
        <v>6000</v>
      </c>
      <c r="D28" s="244">
        <f t="shared" si="0"/>
        <v>125156</v>
      </c>
      <c r="E28" s="242">
        <f>10814-Page_25!E33</f>
        <v>10437.860869565218</v>
      </c>
      <c r="F28" s="242">
        <v>1737</v>
      </c>
      <c r="G28" s="244">
        <f t="shared" si="1"/>
        <v>12174.860869565218</v>
      </c>
      <c r="H28" s="243">
        <v>0</v>
      </c>
      <c r="I28" s="242">
        <v>6503</v>
      </c>
      <c r="J28" s="242">
        <f t="shared" si="2"/>
        <v>6503</v>
      </c>
      <c r="K28" s="57"/>
      <c r="L28" s="57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  <c r="AN28" s="48"/>
      <c r="AO28" s="48"/>
      <c r="AP28" s="48"/>
      <c r="AQ28" s="48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</row>
    <row r="29" spans="1:231" ht="17.5" x14ac:dyDescent="0.45">
      <c r="A29" s="270" t="s">
        <v>63</v>
      </c>
      <c r="B29" s="242">
        <v>97541</v>
      </c>
      <c r="C29" s="242">
        <v>30595</v>
      </c>
      <c r="D29" s="244">
        <f t="shared" si="0"/>
        <v>128136</v>
      </c>
      <c r="E29" s="242">
        <f>10837-Page_25!E34</f>
        <v>10460.060869565217</v>
      </c>
      <c r="F29" s="242">
        <v>2075</v>
      </c>
      <c r="G29" s="244">
        <f t="shared" si="1"/>
        <v>12535.060869565217</v>
      </c>
      <c r="H29" s="243">
        <v>0</v>
      </c>
      <c r="I29" s="242">
        <v>3884</v>
      </c>
      <c r="J29" s="242">
        <f t="shared" si="2"/>
        <v>3884</v>
      </c>
      <c r="K29" s="57"/>
      <c r="L29" s="57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  <c r="AN29" s="48"/>
      <c r="AO29" s="48"/>
      <c r="AP29" s="48"/>
      <c r="AQ29" s="48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</row>
    <row r="30" spans="1:231" ht="17.5" x14ac:dyDescent="0.45">
      <c r="A30" s="270" t="s">
        <v>64</v>
      </c>
      <c r="B30" s="242">
        <v>107320</v>
      </c>
      <c r="C30" s="242">
        <v>5960</v>
      </c>
      <c r="D30" s="242">
        <f t="shared" si="0"/>
        <v>113280</v>
      </c>
      <c r="E30" s="242">
        <f>10959-Page_25!E35</f>
        <v>10577.817391304348</v>
      </c>
      <c r="F30" s="242">
        <v>1520</v>
      </c>
      <c r="G30" s="242">
        <f t="shared" si="1"/>
        <v>12097.817391304348</v>
      </c>
      <c r="H30" s="243">
        <v>0</v>
      </c>
      <c r="I30" s="242">
        <v>5450</v>
      </c>
      <c r="J30" s="244">
        <f t="shared" si="2"/>
        <v>5450</v>
      </c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  <c r="AN30" s="48"/>
      <c r="AO30" s="48"/>
      <c r="AP30" s="48"/>
      <c r="AQ30" s="48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</row>
    <row r="31" spans="1:231" ht="17.5" x14ac:dyDescent="0.45">
      <c r="A31" s="270" t="s">
        <v>65</v>
      </c>
      <c r="B31" s="242">
        <v>110388</v>
      </c>
      <c r="C31" s="242">
        <v>54300</v>
      </c>
      <c r="D31" s="242">
        <f t="shared" si="0"/>
        <v>164688</v>
      </c>
      <c r="E31" s="242">
        <f>13923-Page_25!E36</f>
        <v>13438.721739130435</v>
      </c>
      <c r="F31" s="242">
        <v>5401</v>
      </c>
      <c r="G31" s="242">
        <f t="shared" si="1"/>
        <v>18839.721739130437</v>
      </c>
      <c r="H31" s="243">
        <v>0</v>
      </c>
      <c r="I31" s="242">
        <v>728</v>
      </c>
      <c r="J31" s="244">
        <f t="shared" si="2"/>
        <v>728</v>
      </c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</row>
    <row r="32" spans="1:231" ht="17.5" x14ac:dyDescent="0.45">
      <c r="A32" s="270" t="s">
        <v>66</v>
      </c>
      <c r="B32" s="242">
        <v>82140</v>
      </c>
      <c r="C32" s="242">
        <v>60459</v>
      </c>
      <c r="D32" s="242">
        <f t="shared" si="0"/>
        <v>142599</v>
      </c>
      <c r="E32" s="242">
        <f>7502-Page_25!E37</f>
        <v>7241.0608695652172</v>
      </c>
      <c r="F32" s="242">
        <v>5259</v>
      </c>
      <c r="G32" s="242">
        <f t="shared" si="1"/>
        <v>12500.060869565217</v>
      </c>
      <c r="H32" s="243">
        <v>0</v>
      </c>
      <c r="I32" s="242">
        <v>2870</v>
      </c>
      <c r="J32" s="244">
        <f t="shared" si="2"/>
        <v>2870</v>
      </c>
      <c r="K32" s="57"/>
      <c r="L32" s="57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  <c r="AN32" s="48"/>
      <c r="AO32" s="48"/>
      <c r="AP32" s="48"/>
      <c r="AQ32" s="48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</row>
    <row r="33" spans="1:231" ht="17.5" x14ac:dyDescent="0.45">
      <c r="A33" s="269" t="s">
        <v>67</v>
      </c>
      <c r="B33" s="242">
        <v>99774</v>
      </c>
      <c r="C33" s="242">
        <v>996</v>
      </c>
      <c r="D33" s="242">
        <f t="shared" si="0"/>
        <v>100770</v>
      </c>
      <c r="E33" s="242">
        <f>8900-Page_25!E38</f>
        <v>8590.434782608696</v>
      </c>
      <c r="F33" s="242">
        <v>0</v>
      </c>
      <c r="G33" s="242">
        <f t="shared" si="1"/>
        <v>8590.434782608696</v>
      </c>
      <c r="H33" s="243">
        <v>0</v>
      </c>
      <c r="I33" s="242">
        <v>4462</v>
      </c>
      <c r="J33" s="242">
        <f t="shared" si="2"/>
        <v>4462</v>
      </c>
      <c r="K33" s="57"/>
      <c r="L33" s="57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  <c r="AN33" s="48"/>
      <c r="AO33" s="48"/>
      <c r="AP33" s="48"/>
      <c r="AQ33" s="48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</row>
    <row r="34" spans="1:231" ht="17.5" x14ac:dyDescent="0.45">
      <c r="A34" s="269" t="s">
        <v>68</v>
      </c>
      <c r="B34" s="242">
        <v>99953</v>
      </c>
      <c r="C34" s="242">
        <v>3725</v>
      </c>
      <c r="D34" s="242">
        <f t="shared" si="0"/>
        <v>103678</v>
      </c>
      <c r="E34" s="242">
        <f>9852-Page_25!E39</f>
        <v>9509.3217391304352</v>
      </c>
      <c r="F34" s="242">
        <v>950</v>
      </c>
      <c r="G34" s="242">
        <f t="shared" si="1"/>
        <v>10459.321739130435</v>
      </c>
      <c r="H34" s="243">
        <v>0</v>
      </c>
      <c r="I34" s="242">
        <v>3750</v>
      </c>
      <c r="J34" s="242">
        <f t="shared" si="2"/>
        <v>3750</v>
      </c>
      <c r="K34" s="57"/>
      <c r="L34" s="57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  <c r="AN34" s="48"/>
      <c r="AO34" s="48"/>
      <c r="AP34" s="48"/>
      <c r="AQ34" s="48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</row>
    <row r="35" spans="1:231" ht="17.5" x14ac:dyDescent="0.45">
      <c r="A35" s="269" t="s">
        <v>69</v>
      </c>
      <c r="B35" s="242">
        <v>104131</v>
      </c>
      <c r="C35" s="242">
        <v>19087</v>
      </c>
      <c r="D35" s="242">
        <f t="shared" si="0"/>
        <v>123218</v>
      </c>
      <c r="E35" s="242">
        <f>13606-Page_25!E40</f>
        <v>13132.747826086956</v>
      </c>
      <c r="F35" s="242">
        <v>995</v>
      </c>
      <c r="G35" s="242">
        <f t="shared" si="1"/>
        <v>14127.747826086956</v>
      </c>
      <c r="H35" s="243">
        <v>0</v>
      </c>
      <c r="I35" s="242">
        <v>24150</v>
      </c>
      <c r="J35" s="242">
        <f t="shared" si="2"/>
        <v>24150</v>
      </c>
      <c r="K35" s="57"/>
      <c r="L35" s="57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  <c r="AN35" s="48"/>
      <c r="AO35" s="48"/>
      <c r="AP35" s="48"/>
      <c r="AQ35" s="48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</row>
    <row r="36" spans="1:231" ht="17.5" x14ac:dyDescent="0.45">
      <c r="A36" s="270" t="s">
        <v>70</v>
      </c>
      <c r="B36" s="242">
        <v>93758</v>
      </c>
      <c r="C36" s="242">
        <v>63441</v>
      </c>
      <c r="D36" s="242">
        <f t="shared" si="0"/>
        <v>157199</v>
      </c>
      <c r="E36" s="242">
        <f>7815-Page_25!E41</f>
        <v>7543.173913043478</v>
      </c>
      <c r="F36" s="242">
        <v>10776</v>
      </c>
      <c r="G36" s="242">
        <f t="shared" si="1"/>
        <v>18319.17391304348</v>
      </c>
      <c r="H36" s="243">
        <v>0</v>
      </c>
      <c r="I36" s="242">
        <v>28652</v>
      </c>
      <c r="J36" s="242">
        <f t="shared" si="2"/>
        <v>28652</v>
      </c>
      <c r="K36" s="57"/>
      <c r="L36" s="57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  <c r="AN36" s="48"/>
      <c r="AO36" s="48"/>
      <c r="AP36" s="48"/>
      <c r="AQ36" s="48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</row>
    <row r="37" spans="1:231" ht="17.5" x14ac:dyDescent="0.45">
      <c r="A37" s="269" t="s">
        <v>71</v>
      </c>
      <c r="B37" s="242">
        <v>85858</v>
      </c>
      <c r="C37" s="242">
        <v>49240</v>
      </c>
      <c r="D37" s="242">
        <f t="shared" si="0"/>
        <v>135098</v>
      </c>
      <c r="E37" s="242">
        <f>12331-Page_25!E42</f>
        <v>11902.095652173914</v>
      </c>
      <c r="F37" s="242">
        <v>2240</v>
      </c>
      <c r="G37" s="242">
        <f t="shared" si="1"/>
        <v>14142.095652173914</v>
      </c>
      <c r="H37" s="243">
        <v>0</v>
      </c>
      <c r="I37" s="242">
        <v>4571</v>
      </c>
      <c r="J37" s="242">
        <f t="shared" si="2"/>
        <v>4571</v>
      </c>
      <c r="K37" s="57"/>
      <c r="L37" s="57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</row>
    <row r="38" spans="1:231" ht="17.5" x14ac:dyDescent="0.45">
      <c r="A38" s="269" t="s">
        <v>72</v>
      </c>
      <c r="B38" s="242">
        <v>111209</v>
      </c>
      <c r="C38" s="242">
        <v>2895</v>
      </c>
      <c r="D38" s="242">
        <f t="shared" si="0"/>
        <v>114104</v>
      </c>
      <c r="E38" s="242">
        <f>7823-Page_25!E43</f>
        <v>7550.8956521739128</v>
      </c>
      <c r="F38" s="242">
        <v>22</v>
      </c>
      <c r="G38" s="242">
        <f t="shared" si="1"/>
        <v>7572.8956521739128</v>
      </c>
      <c r="H38" s="243">
        <v>0</v>
      </c>
      <c r="I38" s="242">
        <v>136</v>
      </c>
      <c r="J38" s="242">
        <f t="shared" si="2"/>
        <v>136</v>
      </c>
      <c r="K38" s="57"/>
      <c r="L38" s="57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</row>
    <row r="39" spans="1:231" ht="17.5" x14ac:dyDescent="0.45">
      <c r="A39" s="269" t="s">
        <v>73</v>
      </c>
      <c r="B39" s="242">
        <v>72122</v>
      </c>
      <c r="C39" s="243">
        <v>0</v>
      </c>
      <c r="D39" s="242">
        <f t="shared" ref="D39:D56" si="3">SUM(B39:C39)</f>
        <v>72122</v>
      </c>
      <c r="E39" s="242">
        <v>7740.0782608695654</v>
      </c>
      <c r="F39" s="243">
        <v>0</v>
      </c>
      <c r="G39" s="242">
        <f t="shared" ref="G39:G56" si="4">SUM(E39:F39)</f>
        <v>7740.0782608695654</v>
      </c>
      <c r="H39" s="243">
        <v>0</v>
      </c>
      <c r="I39" s="243">
        <v>0</v>
      </c>
      <c r="J39" s="243">
        <f t="shared" ref="J39:J56" si="5">SUM(H39:I39)</f>
        <v>0</v>
      </c>
      <c r="K39" s="57"/>
      <c r="L39" s="57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</row>
    <row r="40" spans="1:231" ht="17.5" x14ac:dyDescent="0.45">
      <c r="A40" s="269" t="s">
        <v>74</v>
      </c>
      <c r="B40" s="242">
        <v>19633</v>
      </c>
      <c r="C40" s="243">
        <v>0</v>
      </c>
      <c r="D40" s="242">
        <f t="shared" si="3"/>
        <v>19633</v>
      </c>
      <c r="E40" s="242">
        <v>2437</v>
      </c>
      <c r="F40" s="243">
        <v>0</v>
      </c>
      <c r="G40" s="242">
        <f t="shared" si="4"/>
        <v>2437</v>
      </c>
      <c r="H40" s="243">
        <v>0</v>
      </c>
      <c r="I40" s="243">
        <v>0</v>
      </c>
      <c r="J40" s="243">
        <f t="shared" si="5"/>
        <v>0</v>
      </c>
      <c r="K40" s="57"/>
      <c r="L40" s="57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</row>
    <row r="41" spans="1:231" ht="17.5" x14ac:dyDescent="0.45">
      <c r="A41" s="269" t="s">
        <v>75</v>
      </c>
      <c r="B41" s="242">
        <v>8790</v>
      </c>
      <c r="C41" s="243">
        <v>0</v>
      </c>
      <c r="D41" s="242">
        <f t="shared" si="3"/>
        <v>8790</v>
      </c>
      <c r="E41" s="242">
        <v>436</v>
      </c>
      <c r="F41" s="243">
        <v>0</v>
      </c>
      <c r="G41" s="242">
        <f t="shared" si="4"/>
        <v>436</v>
      </c>
      <c r="H41" s="243">
        <v>0</v>
      </c>
      <c r="I41" s="243">
        <v>0</v>
      </c>
      <c r="J41" s="243">
        <f t="shared" si="5"/>
        <v>0</v>
      </c>
      <c r="K41" s="57"/>
      <c r="L41" s="57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</row>
    <row r="42" spans="1:231" ht="17.5" x14ac:dyDescent="0.45">
      <c r="A42" s="269" t="s">
        <v>76</v>
      </c>
      <c r="B42" s="242">
        <v>75486</v>
      </c>
      <c r="C42" s="242">
        <v>5316</v>
      </c>
      <c r="D42" s="242">
        <f t="shared" si="3"/>
        <v>80802</v>
      </c>
      <c r="E42" s="242">
        <v>5990</v>
      </c>
      <c r="F42" s="242">
        <v>1356</v>
      </c>
      <c r="G42" s="242">
        <f t="shared" si="4"/>
        <v>7346</v>
      </c>
      <c r="H42" s="243">
        <v>0</v>
      </c>
      <c r="I42" s="295">
        <v>6607</v>
      </c>
      <c r="J42" s="242">
        <f t="shared" si="5"/>
        <v>6607</v>
      </c>
      <c r="K42" s="57"/>
      <c r="L42" s="57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</row>
    <row r="43" spans="1:231" ht="17.5" x14ac:dyDescent="0.45">
      <c r="A43" s="269" t="s">
        <v>77</v>
      </c>
      <c r="B43" s="242">
        <v>90625</v>
      </c>
      <c r="C43" s="242">
        <v>44212</v>
      </c>
      <c r="D43" s="242">
        <f t="shared" si="3"/>
        <v>134837</v>
      </c>
      <c r="E43" s="242">
        <v>10483</v>
      </c>
      <c r="F43" s="242">
        <v>6281</v>
      </c>
      <c r="G43" s="242">
        <f t="shared" si="4"/>
        <v>16764</v>
      </c>
      <c r="H43" s="243">
        <v>0</v>
      </c>
      <c r="I43" s="295">
        <v>708</v>
      </c>
      <c r="J43" s="242">
        <f t="shared" si="5"/>
        <v>708</v>
      </c>
      <c r="K43" s="57"/>
      <c r="L43" s="57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</row>
    <row r="44" spans="1:231" ht="17.5" x14ac:dyDescent="0.45">
      <c r="A44" s="269" t="s">
        <v>78</v>
      </c>
      <c r="B44" s="242">
        <v>103952</v>
      </c>
      <c r="C44" s="242">
        <v>11227</v>
      </c>
      <c r="D44" s="242">
        <f t="shared" si="3"/>
        <v>115179</v>
      </c>
      <c r="E44" s="242">
        <v>9823</v>
      </c>
      <c r="F44" s="242">
        <v>6594</v>
      </c>
      <c r="G44" s="242">
        <f t="shared" si="4"/>
        <v>16417</v>
      </c>
      <c r="H44" s="243">
        <v>0</v>
      </c>
      <c r="I44" s="246">
        <v>7722</v>
      </c>
      <c r="J44" s="242">
        <f t="shared" si="5"/>
        <v>7722</v>
      </c>
      <c r="K44" s="57"/>
      <c r="L44" s="57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</row>
    <row r="45" spans="1:231" ht="17.5" x14ac:dyDescent="0.45">
      <c r="A45" s="269" t="s">
        <v>79</v>
      </c>
      <c r="B45" s="242">
        <v>81390</v>
      </c>
      <c r="C45" s="242">
        <v>74960</v>
      </c>
      <c r="D45" s="242">
        <f t="shared" si="3"/>
        <v>156350</v>
      </c>
      <c r="E45" s="242">
        <v>10762</v>
      </c>
      <c r="F45" s="242">
        <v>9842</v>
      </c>
      <c r="G45" s="242">
        <f t="shared" si="4"/>
        <v>20604</v>
      </c>
      <c r="H45" s="246">
        <v>0</v>
      </c>
      <c r="I45" s="246">
        <v>3845</v>
      </c>
      <c r="J45" s="242">
        <f t="shared" si="5"/>
        <v>3845</v>
      </c>
      <c r="K45" s="57"/>
      <c r="L45" s="57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</row>
    <row r="46" spans="1:231" ht="17.5" x14ac:dyDescent="0.45">
      <c r="A46" s="269" t="s">
        <v>80</v>
      </c>
      <c r="B46" s="242">
        <v>110855</v>
      </c>
      <c r="C46" s="242">
        <v>0</v>
      </c>
      <c r="D46" s="242">
        <f t="shared" si="3"/>
        <v>110855</v>
      </c>
      <c r="E46" s="242">
        <v>7892</v>
      </c>
      <c r="F46" s="242">
        <v>1826</v>
      </c>
      <c r="G46" s="242">
        <f t="shared" si="4"/>
        <v>9718</v>
      </c>
      <c r="H46" s="246">
        <v>0</v>
      </c>
      <c r="I46" s="246">
        <v>744</v>
      </c>
      <c r="J46" s="242">
        <f t="shared" si="5"/>
        <v>744</v>
      </c>
      <c r="K46" s="57"/>
      <c r="L46" s="57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</row>
    <row r="47" spans="1:231" ht="17.5" x14ac:dyDescent="0.45">
      <c r="A47" s="269" t="s">
        <v>81</v>
      </c>
      <c r="B47" s="242">
        <f>[1]ActualDeliveries!E$89</f>
        <v>28230</v>
      </c>
      <c r="C47" s="242">
        <f>[1]ActualDeliveries!E$115</f>
        <v>0</v>
      </c>
      <c r="D47" s="242">
        <f t="shared" si="3"/>
        <v>28230</v>
      </c>
      <c r="E47" s="242">
        <f>[1]ActualDeliveries!E$90</f>
        <v>3833</v>
      </c>
      <c r="F47" s="242">
        <f>[1]ActualDeliveries!E$116</f>
        <v>0</v>
      </c>
      <c r="G47" s="242">
        <f t="shared" si="4"/>
        <v>3833</v>
      </c>
      <c r="H47" s="246">
        <v>0</v>
      </c>
      <c r="I47" s="246">
        <f>[1]ActualDeliveries!E$117</f>
        <v>0</v>
      </c>
      <c r="J47" s="242">
        <f t="shared" si="5"/>
        <v>0</v>
      </c>
      <c r="K47" s="57"/>
      <c r="L47" s="57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</row>
    <row r="48" spans="1:231" ht="17.5" x14ac:dyDescent="0.45">
      <c r="A48" s="269" t="s">
        <v>82</v>
      </c>
      <c r="B48" s="242">
        <f t="shared" ref="B48:C56" si="6">+B$58</f>
        <v>71332.571428571435</v>
      </c>
      <c r="C48" s="242">
        <f t="shared" si="6"/>
        <v>19387.857142857141</v>
      </c>
      <c r="D48" s="242">
        <f t="shared" si="3"/>
        <v>90720.42857142858</v>
      </c>
      <c r="E48" s="242">
        <f t="shared" ref="E48:E55" si="7">+$E$58</f>
        <v>7031.2857142857147</v>
      </c>
      <c r="F48" s="242">
        <f t="shared" ref="F48:F55" si="8">+$F$58</f>
        <v>3699.8571428571427</v>
      </c>
      <c r="G48" s="242">
        <f t="shared" si="4"/>
        <v>10731.142857142857</v>
      </c>
      <c r="H48" s="243">
        <f t="shared" ref="H48:H56" si="9">+H$58</f>
        <v>0</v>
      </c>
      <c r="I48" s="242">
        <f t="shared" ref="I48:I55" si="10">+$I$58</f>
        <v>2803.7142857142858</v>
      </c>
      <c r="J48" s="242">
        <f t="shared" si="5"/>
        <v>2803.7142857142858</v>
      </c>
      <c r="K48" s="57"/>
      <c r="L48" s="57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</row>
    <row r="49" spans="1:231" ht="17.5" x14ac:dyDescent="0.45">
      <c r="A49" s="269" t="s">
        <v>83</v>
      </c>
      <c r="B49" s="242">
        <f t="shared" si="6"/>
        <v>71332.571428571435</v>
      </c>
      <c r="C49" s="242">
        <f t="shared" si="6"/>
        <v>19387.857142857141</v>
      </c>
      <c r="D49" s="242">
        <f t="shared" si="3"/>
        <v>90720.42857142858</v>
      </c>
      <c r="E49" s="242">
        <f t="shared" si="7"/>
        <v>7031.2857142857147</v>
      </c>
      <c r="F49" s="242">
        <f t="shared" si="8"/>
        <v>3699.8571428571427</v>
      </c>
      <c r="G49" s="242">
        <f t="shared" si="4"/>
        <v>10731.142857142857</v>
      </c>
      <c r="H49" s="243">
        <f t="shared" si="9"/>
        <v>0</v>
      </c>
      <c r="I49" s="242">
        <f t="shared" si="10"/>
        <v>2803.7142857142858</v>
      </c>
      <c r="J49" s="242">
        <f t="shared" si="5"/>
        <v>2803.7142857142858</v>
      </c>
      <c r="K49" s="57"/>
      <c r="L49" s="57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</row>
    <row r="50" spans="1:231" ht="17.5" x14ac:dyDescent="0.45">
      <c r="A50" s="269" t="s">
        <v>84</v>
      </c>
      <c r="B50" s="242">
        <f t="shared" si="6"/>
        <v>71332.571428571435</v>
      </c>
      <c r="C50" s="242">
        <f t="shared" si="6"/>
        <v>19387.857142857141</v>
      </c>
      <c r="D50" s="242">
        <f t="shared" si="3"/>
        <v>90720.42857142858</v>
      </c>
      <c r="E50" s="242">
        <f t="shared" si="7"/>
        <v>7031.2857142857147</v>
      </c>
      <c r="F50" s="242">
        <f t="shared" si="8"/>
        <v>3699.8571428571427</v>
      </c>
      <c r="G50" s="242">
        <f t="shared" si="4"/>
        <v>10731.142857142857</v>
      </c>
      <c r="H50" s="243">
        <f t="shared" si="9"/>
        <v>0</v>
      </c>
      <c r="I50" s="242">
        <f t="shared" si="10"/>
        <v>2803.7142857142858</v>
      </c>
      <c r="J50" s="242">
        <f t="shared" si="5"/>
        <v>2803.7142857142858</v>
      </c>
      <c r="K50" s="57"/>
      <c r="L50" s="57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</row>
    <row r="51" spans="1:231" ht="17.5" x14ac:dyDescent="0.45">
      <c r="A51" s="269" t="s">
        <v>85</v>
      </c>
      <c r="B51" s="242">
        <f t="shared" si="6"/>
        <v>71332.571428571435</v>
      </c>
      <c r="C51" s="242">
        <f t="shared" si="6"/>
        <v>19387.857142857141</v>
      </c>
      <c r="D51" s="242">
        <f t="shared" si="3"/>
        <v>90720.42857142858</v>
      </c>
      <c r="E51" s="242">
        <f t="shared" si="7"/>
        <v>7031.2857142857147</v>
      </c>
      <c r="F51" s="242">
        <f t="shared" si="8"/>
        <v>3699.8571428571427</v>
      </c>
      <c r="G51" s="242">
        <f t="shared" si="4"/>
        <v>10731.142857142857</v>
      </c>
      <c r="H51" s="243">
        <f t="shared" si="9"/>
        <v>0</v>
      </c>
      <c r="I51" s="242">
        <f t="shared" si="10"/>
        <v>2803.7142857142858</v>
      </c>
      <c r="J51" s="242">
        <f t="shared" si="5"/>
        <v>2803.7142857142858</v>
      </c>
      <c r="K51" s="57"/>
      <c r="L51" s="57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</row>
    <row r="52" spans="1:231" ht="17.5" x14ac:dyDescent="0.45">
      <c r="A52" s="269" t="s">
        <v>86</v>
      </c>
      <c r="B52" s="242">
        <f t="shared" si="6"/>
        <v>71332.571428571435</v>
      </c>
      <c r="C52" s="242">
        <f t="shared" si="6"/>
        <v>19387.857142857141</v>
      </c>
      <c r="D52" s="242">
        <f t="shared" si="3"/>
        <v>90720.42857142858</v>
      </c>
      <c r="E52" s="242">
        <f t="shared" si="7"/>
        <v>7031.2857142857147</v>
      </c>
      <c r="F52" s="242">
        <f t="shared" si="8"/>
        <v>3699.8571428571427</v>
      </c>
      <c r="G52" s="242">
        <f t="shared" si="4"/>
        <v>10731.142857142857</v>
      </c>
      <c r="H52" s="243">
        <f t="shared" si="9"/>
        <v>0</v>
      </c>
      <c r="I52" s="242">
        <f t="shared" si="10"/>
        <v>2803.7142857142858</v>
      </c>
      <c r="J52" s="242">
        <f t="shared" si="5"/>
        <v>2803.7142857142858</v>
      </c>
      <c r="K52" s="57"/>
      <c r="L52" s="57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</row>
    <row r="53" spans="1:231" ht="17.5" x14ac:dyDescent="0.45">
      <c r="A53" s="269" t="s">
        <v>87</v>
      </c>
      <c r="B53" s="242">
        <f t="shared" si="6"/>
        <v>71332.571428571435</v>
      </c>
      <c r="C53" s="242">
        <f t="shared" si="6"/>
        <v>19387.857142857141</v>
      </c>
      <c r="D53" s="242">
        <f t="shared" si="3"/>
        <v>90720.42857142858</v>
      </c>
      <c r="E53" s="242">
        <f t="shared" si="7"/>
        <v>7031.2857142857147</v>
      </c>
      <c r="F53" s="242">
        <f t="shared" si="8"/>
        <v>3699.8571428571427</v>
      </c>
      <c r="G53" s="242">
        <f t="shared" si="4"/>
        <v>10731.142857142857</v>
      </c>
      <c r="H53" s="243">
        <f t="shared" si="9"/>
        <v>0</v>
      </c>
      <c r="I53" s="242">
        <f t="shared" si="10"/>
        <v>2803.7142857142858</v>
      </c>
      <c r="J53" s="242">
        <f t="shared" si="5"/>
        <v>2803.7142857142858</v>
      </c>
      <c r="K53" s="57"/>
      <c r="L53" s="57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</row>
    <row r="54" spans="1:231" ht="17.5" x14ac:dyDescent="0.45">
      <c r="A54" s="269" t="s">
        <v>88</v>
      </c>
      <c r="B54" s="242">
        <f t="shared" si="6"/>
        <v>71332.571428571435</v>
      </c>
      <c r="C54" s="242">
        <f t="shared" si="6"/>
        <v>19387.857142857141</v>
      </c>
      <c r="D54" s="242">
        <f t="shared" si="3"/>
        <v>90720.42857142858</v>
      </c>
      <c r="E54" s="242">
        <f t="shared" si="7"/>
        <v>7031.2857142857147</v>
      </c>
      <c r="F54" s="242">
        <f t="shared" si="8"/>
        <v>3699.8571428571427</v>
      </c>
      <c r="G54" s="242">
        <f t="shared" si="4"/>
        <v>10731.142857142857</v>
      </c>
      <c r="H54" s="243">
        <f t="shared" si="9"/>
        <v>0</v>
      </c>
      <c r="I54" s="242">
        <f t="shared" si="10"/>
        <v>2803.7142857142858</v>
      </c>
      <c r="J54" s="242">
        <f t="shared" si="5"/>
        <v>2803.7142857142858</v>
      </c>
      <c r="K54" s="57"/>
      <c r="L54" s="57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</row>
    <row r="55" spans="1:231" ht="17.5" x14ac:dyDescent="0.45">
      <c r="A55" s="269" t="s">
        <v>89</v>
      </c>
      <c r="B55" s="242">
        <f t="shared" si="6"/>
        <v>71332.571428571435</v>
      </c>
      <c r="C55" s="242">
        <f t="shared" si="6"/>
        <v>19387.857142857141</v>
      </c>
      <c r="D55" s="242">
        <f t="shared" si="3"/>
        <v>90720.42857142858</v>
      </c>
      <c r="E55" s="242">
        <f t="shared" si="7"/>
        <v>7031.2857142857147</v>
      </c>
      <c r="F55" s="242">
        <f t="shared" si="8"/>
        <v>3699.8571428571427</v>
      </c>
      <c r="G55" s="242">
        <f t="shared" si="4"/>
        <v>10731.142857142857</v>
      </c>
      <c r="H55" s="243">
        <f t="shared" si="9"/>
        <v>0</v>
      </c>
      <c r="I55" s="242">
        <f t="shared" si="10"/>
        <v>2803.7142857142858</v>
      </c>
      <c r="J55" s="242">
        <f t="shared" si="5"/>
        <v>2803.7142857142858</v>
      </c>
      <c r="K55" s="57"/>
      <c r="L55" s="57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</row>
    <row r="56" spans="1:231" ht="18" thickBot="1" x14ac:dyDescent="0.5">
      <c r="A56" s="269" t="s">
        <v>90</v>
      </c>
      <c r="B56" s="242">
        <f t="shared" si="6"/>
        <v>71332.571428571435</v>
      </c>
      <c r="C56" s="242">
        <f t="shared" si="6"/>
        <v>19387.857142857141</v>
      </c>
      <c r="D56" s="242">
        <f t="shared" si="3"/>
        <v>90720.42857142858</v>
      </c>
      <c r="E56" s="242">
        <f>+E55</f>
        <v>7031.2857142857147</v>
      </c>
      <c r="F56" s="242">
        <f>+F55</f>
        <v>3699.8571428571427</v>
      </c>
      <c r="G56" s="242">
        <f t="shared" si="4"/>
        <v>10731.142857142857</v>
      </c>
      <c r="H56" s="243">
        <f t="shared" si="9"/>
        <v>0</v>
      </c>
      <c r="I56" s="242">
        <f>+I55</f>
        <v>2803.7142857142858</v>
      </c>
      <c r="J56" s="242">
        <f t="shared" si="5"/>
        <v>2803.7142857142858</v>
      </c>
      <c r="K56" s="57"/>
      <c r="L56" s="57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</row>
    <row r="57" spans="1:231" ht="18.5" x14ac:dyDescent="0.45">
      <c r="A57" s="269" t="s">
        <v>91</v>
      </c>
      <c r="B57" s="247">
        <f t="shared" ref="B57:J57" si="11">SUM(B7:B56)</f>
        <v>4508919.1428571446</v>
      </c>
      <c r="C57" s="247">
        <f t="shared" si="11"/>
        <v>1183080.7142857136</v>
      </c>
      <c r="D57" s="247">
        <f t="shared" si="11"/>
        <v>5691999.8571428536</v>
      </c>
      <c r="E57" s="247">
        <f t="shared" si="11"/>
        <v>455544.44968944113</v>
      </c>
      <c r="F57" s="247">
        <f t="shared" si="11"/>
        <v>218229.71428571417</v>
      </c>
      <c r="G57" s="247">
        <f t="shared" si="11"/>
        <v>673774.1639751551</v>
      </c>
      <c r="H57" s="247">
        <f t="shared" si="11"/>
        <v>163433</v>
      </c>
      <c r="I57" s="247">
        <f t="shared" si="11"/>
        <v>662558.42857142887</v>
      </c>
      <c r="J57" s="247">
        <f t="shared" si="11"/>
        <v>825991.42857142887</v>
      </c>
      <c r="K57" s="87"/>
      <c r="L57" s="87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</row>
    <row r="58" spans="1:231" ht="18.5" x14ac:dyDescent="0.45">
      <c r="A58" s="269" t="str">
        <f>+Page_7!A58</f>
        <v>7 - Year Hist Avg (A-12)</v>
      </c>
      <c r="B58" s="242">
        <f>AVERAGE(B41:B47)</f>
        <v>71332.571428571435</v>
      </c>
      <c r="C58" s="242">
        <f>AVERAGE(C41:C47)</f>
        <v>19387.857142857141</v>
      </c>
      <c r="D58" s="242">
        <f>SUM(B58:C58)</f>
        <v>90720.42857142858</v>
      </c>
      <c r="E58" s="242">
        <f>AVERAGE(E41:E47)</f>
        <v>7031.2857142857147</v>
      </c>
      <c r="F58" s="242">
        <f>AVERAGE(F41:F47)</f>
        <v>3699.8571428571427</v>
      </c>
      <c r="G58" s="242">
        <f>SUM(E58:F58)</f>
        <v>10731.142857142857</v>
      </c>
      <c r="H58" s="242">
        <f>AVERAGE(H41:H47)</f>
        <v>0</v>
      </c>
      <c r="I58" s="242">
        <f>AVERAGE(I41:I47)</f>
        <v>2803.7142857142858</v>
      </c>
      <c r="J58" s="242">
        <f>SUM(H58:I58)</f>
        <v>2803.7142857142858</v>
      </c>
      <c r="K58" s="87"/>
      <c r="L58" s="87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</row>
    <row r="59" spans="1:231" s="54" customFormat="1" ht="17.5" x14ac:dyDescent="0.45">
      <c r="A59" s="272" t="str">
        <f>+Page_7!A59</f>
        <v>Projected Del. (A-2ba)</v>
      </c>
      <c r="B59" s="242">
        <f>SUM(B49:B56)</f>
        <v>570660.57142857148</v>
      </c>
      <c r="C59" s="242">
        <f>SUM(C49:C56)</f>
        <v>155102.85714285713</v>
      </c>
      <c r="D59" s="242">
        <f>SUM(D49:D56)</f>
        <v>725763.42857142864</v>
      </c>
      <c r="E59" s="242">
        <f>SUM(E49:E56)</f>
        <v>56250.285714285725</v>
      </c>
      <c r="F59" s="242">
        <f>SUM(F49:F56)</f>
        <v>29598.857142857138</v>
      </c>
      <c r="G59" s="242">
        <f>SUM(E59:F59)</f>
        <v>85849.14285714287</v>
      </c>
      <c r="H59" s="242">
        <f>SUM(H49:H56)</f>
        <v>0</v>
      </c>
      <c r="I59" s="242">
        <f>SUM(I49:I56)</f>
        <v>22429.714285714286</v>
      </c>
      <c r="J59" s="242">
        <f>SUM(H59:I59)</f>
        <v>22429.714285714286</v>
      </c>
      <c r="K59" s="51"/>
      <c r="L59" s="51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</row>
    <row r="60" spans="1:231" ht="15.5" x14ac:dyDescent="0.35">
      <c r="B60" s="80" t="s">
        <v>102</v>
      </c>
      <c r="C60" s="80" t="s">
        <v>102</v>
      </c>
      <c r="D60" s="80" t="s">
        <v>102</v>
      </c>
      <c r="E60" s="80" t="s">
        <v>102</v>
      </c>
      <c r="F60" s="80" t="s">
        <v>102</v>
      </c>
      <c r="G60" s="80" t="s">
        <v>102</v>
      </c>
      <c r="H60" s="80" t="s">
        <v>102</v>
      </c>
      <c r="I60" s="80" t="s">
        <v>102</v>
      </c>
      <c r="J60" s="80" t="s">
        <v>102</v>
      </c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</row>
    <row r="61" spans="1:231" ht="15.5" x14ac:dyDescent="0.35">
      <c r="B61" s="80" t="s">
        <v>102</v>
      </c>
      <c r="C61" s="80" t="s">
        <v>102</v>
      </c>
      <c r="D61" s="80" t="s">
        <v>102</v>
      </c>
      <c r="E61" s="80" t="s">
        <v>102</v>
      </c>
      <c r="F61" s="80" t="s">
        <v>102</v>
      </c>
      <c r="G61" s="80" t="s">
        <v>102</v>
      </c>
      <c r="H61" s="80" t="s">
        <v>102</v>
      </c>
      <c r="I61" s="80" t="s">
        <v>102</v>
      </c>
      <c r="J61" s="80" t="s">
        <v>102</v>
      </c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</row>
    <row r="62" spans="1:231" ht="15.5" x14ac:dyDescent="0.35">
      <c r="B62" s="80" t="s">
        <v>102</v>
      </c>
      <c r="C62" s="80" t="s">
        <v>102</v>
      </c>
      <c r="D62" s="80" t="s">
        <v>102</v>
      </c>
      <c r="E62" s="80" t="s">
        <v>102</v>
      </c>
      <c r="F62" s="80" t="s">
        <v>102</v>
      </c>
      <c r="G62" s="80" t="s">
        <v>102</v>
      </c>
      <c r="H62" s="80" t="s">
        <v>102</v>
      </c>
      <c r="I62" s="80" t="s">
        <v>102</v>
      </c>
      <c r="J62" s="80" t="s">
        <v>102</v>
      </c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</row>
    <row r="63" spans="1:231" ht="15.5" x14ac:dyDescent="0.35">
      <c r="B63" s="80" t="s">
        <v>102</v>
      </c>
      <c r="C63" s="80" t="s">
        <v>102</v>
      </c>
      <c r="D63" s="80" t="s">
        <v>102</v>
      </c>
      <c r="E63" s="80" t="s">
        <v>102</v>
      </c>
      <c r="F63" s="80" t="s">
        <v>102</v>
      </c>
      <c r="G63" s="80" t="s">
        <v>102</v>
      </c>
      <c r="H63" s="80" t="s">
        <v>102</v>
      </c>
      <c r="I63" s="80" t="s">
        <v>102</v>
      </c>
      <c r="J63" s="80" t="s">
        <v>102</v>
      </c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</row>
    <row r="64" spans="1:231" ht="15.5" x14ac:dyDescent="0.35">
      <c r="B64" s="80" t="s">
        <v>102</v>
      </c>
      <c r="C64" s="80" t="s">
        <v>102</v>
      </c>
      <c r="D64" s="80" t="s">
        <v>102</v>
      </c>
      <c r="E64" s="80" t="s">
        <v>102</v>
      </c>
      <c r="F64" s="80" t="s">
        <v>102</v>
      </c>
      <c r="G64" s="80" t="s">
        <v>102</v>
      </c>
      <c r="H64" s="80" t="s">
        <v>102</v>
      </c>
      <c r="I64" s="80" t="s">
        <v>102</v>
      </c>
      <c r="J64" s="80" t="s">
        <v>102</v>
      </c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</row>
    <row r="65" spans="2:43" ht="15.5" x14ac:dyDescent="0.35">
      <c r="B65" s="80" t="s">
        <v>102</v>
      </c>
      <c r="C65" s="80" t="s">
        <v>102</v>
      </c>
      <c r="D65" s="80" t="s">
        <v>102</v>
      </c>
      <c r="E65" s="80" t="s">
        <v>102</v>
      </c>
      <c r="F65" s="80" t="s">
        <v>102</v>
      </c>
      <c r="G65" s="80" t="s">
        <v>102</v>
      </c>
      <c r="H65" s="80" t="s">
        <v>102</v>
      </c>
      <c r="I65" s="80" t="s">
        <v>102</v>
      </c>
      <c r="J65" s="80" t="s">
        <v>102</v>
      </c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</row>
    <row r="66" spans="2:43" ht="15.5" x14ac:dyDescent="0.35"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</row>
    <row r="67" spans="2:43" ht="15.5" x14ac:dyDescent="0.35"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</row>
    <row r="68" spans="2:43" ht="15.5" x14ac:dyDescent="0.35"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</row>
    <row r="69" spans="2:43" ht="15.5" x14ac:dyDescent="0.35"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</row>
    <row r="70" spans="2:43" ht="15.5" x14ac:dyDescent="0.35"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</row>
    <row r="71" spans="2:43" ht="15.5" x14ac:dyDescent="0.35"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</row>
    <row r="72" spans="2:43" ht="15.5" x14ac:dyDescent="0.35"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</row>
    <row r="73" spans="2:43" ht="15.5" x14ac:dyDescent="0.35"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</row>
    <row r="74" spans="2:43" ht="15.5" x14ac:dyDescent="0.35"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</row>
    <row r="75" spans="2:43" ht="15.5" x14ac:dyDescent="0.35"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</row>
    <row r="76" spans="2:43" ht="15.5" x14ac:dyDescent="0.35"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</row>
    <row r="77" spans="2:43" ht="15.5" x14ac:dyDescent="0.35"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</row>
    <row r="78" spans="2:43" ht="15.5" x14ac:dyDescent="0.35"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</row>
    <row r="79" spans="2:43" ht="15.5" x14ac:dyDescent="0.35"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</row>
    <row r="80" spans="2:43" ht="15.5" x14ac:dyDescent="0.35"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</row>
    <row r="81" spans="2:43" ht="15.5" x14ac:dyDescent="0.35"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</row>
    <row r="82" spans="2:43" ht="15.5" x14ac:dyDescent="0.35"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</row>
    <row r="83" spans="2:43" ht="15.5" x14ac:dyDescent="0.35"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</row>
    <row r="84" spans="2:43" ht="15.5" x14ac:dyDescent="0.35"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</row>
    <row r="85" spans="2:43" ht="15.5" x14ac:dyDescent="0.35"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</row>
    <row r="86" spans="2:43" ht="15.5" x14ac:dyDescent="0.35"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</row>
    <row r="87" spans="2:43" ht="15.5" x14ac:dyDescent="0.35"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</row>
    <row r="88" spans="2:43" ht="15.5" x14ac:dyDescent="0.35"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</row>
    <row r="89" spans="2:43" ht="15.5" x14ac:dyDescent="0.35"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</row>
    <row r="90" spans="2:43" ht="15.5" x14ac:dyDescent="0.35"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</row>
    <row r="91" spans="2:43" ht="15.5" x14ac:dyDescent="0.35"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</row>
    <row r="92" spans="2:43" ht="15.5" x14ac:dyDescent="0.35"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</row>
    <row r="93" spans="2:43" ht="15.5" x14ac:dyDescent="0.35"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</row>
    <row r="94" spans="2:43" ht="15.5" x14ac:dyDescent="0.35"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</row>
    <row r="95" spans="2:43" ht="15.5" x14ac:dyDescent="0.35"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</row>
    <row r="96" spans="2:43" ht="15.5" x14ac:dyDescent="0.35"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</row>
    <row r="97" spans="2:43" ht="15.5" x14ac:dyDescent="0.35"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</row>
    <row r="98" spans="2:43" ht="15.5" x14ac:dyDescent="0.35"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</row>
    <row r="99" spans="2:43" ht="15.5" x14ac:dyDescent="0.35"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</row>
    <row r="100" spans="2:43" ht="15.5" x14ac:dyDescent="0.35"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</row>
    <row r="101" spans="2:43" ht="15.5" x14ac:dyDescent="0.35"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</row>
    <row r="102" spans="2:43" ht="15.5" x14ac:dyDescent="0.35"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</row>
    <row r="103" spans="2:43" ht="15.5" x14ac:dyDescent="0.35"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</row>
    <row r="104" spans="2:43" ht="15.5" x14ac:dyDescent="0.35"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</row>
    <row r="105" spans="2:43" ht="15.5" x14ac:dyDescent="0.35"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</row>
    <row r="106" spans="2:43" ht="15.5" x14ac:dyDescent="0.35"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</row>
    <row r="107" spans="2:43" ht="15.5" x14ac:dyDescent="0.35"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</row>
    <row r="108" spans="2:43" ht="15.5" x14ac:dyDescent="0.35"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</row>
    <row r="109" spans="2:43" ht="15.5" x14ac:dyDescent="0.35"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</row>
    <row r="110" spans="2:43" ht="15.5" x14ac:dyDescent="0.35"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</row>
    <row r="111" spans="2:43" ht="15.5" x14ac:dyDescent="0.35"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</row>
    <row r="112" spans="2:43" ht="15.5" x14ac:dyDescent="0.35"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</row>
    <row r="113" spans="2:43" ht="15.5" x14ac:dyDescent="0.35"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</row>
    <row r="114" spans="2:43" ht="15.5" x14ac:dyDescent="0.35"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</row>
    <row r="115" spans="2:43" ht="15.5" x14ac:dyDescent="0.35"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</row>
    <row r="116" spans="2:43" ht="15.5" x14ac:dyDescent="0.35"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</row>
    <row r="117" spans="2:43" ht="15.5" x14ac:dyDescent="0.35"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</row>
    <row r="118" spans="2:43" ht="15.5" x14ac:dyDescent="0.35"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</row>
    <row r="119" spans="2:43" ht="15.5" x14ac:dyDescent="0.35"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</row>
    <row r="120" spans="2:43" ht="15.5" x14ac:dyDescent="0.35"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</row>
    <row r="121" spans="2:43" ht="15.5" x14ac:dyDescent="0.35"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</row>
    <row r="122" spans="2:43" ht="15.5" x14ac:dyDescent="0.35"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</row>
    <row r="123" spans="2:43" ht="15.5" x14ac:dyDescent="0.35"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</row>
    <row r="124" spans="2:43" ht="15.5" x14ac:dyDescent="0.35"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</row>
    <row r="125" spans="2:43" ht="15.5" x14ac:dyDescent="0.35"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</row>
    <row r="126" spans="2:43" ht="15.5" x14ac:dyDescent="0.35"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</row>
    <row r="127" spans="2:43" ht="15.5" x14ac:dyDescent="0.35"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</row>
    <row r="128" spans="2:43" ht="15.5" x14ac:dyDescent="0.35"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</row>
    <row r="129" spans="2:43" ht="15.5" x14ac:dyDescent="0.35"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</row>
    <row r="130" spans="2:43" ht="15.5" x14ac:dyDescent="0.35"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</row>
    <row r="131" spans="2:43" ht="15.5" x14ac:dyDescent="0.35"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</row>
    <row r="132" spans="2:43" ht="15.5" x14ac:dyDescent="0.35"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</row>
    <row r="133" spans="2:43" ht="15.5" x14ac:dyDescent="0.35"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</row>
    <row r="134" spans="2:43" ht="15.5" x14ac:dyDescent="0.35"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</row>
    <row r="135" spans="2:43" ht="15.5" x14ac:dyDescent="0.35"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</row>
    <row r="136" spans="2:43" ht="15.5" x14ac:dyDescent="0.35"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</row>
    <row r="137" spans="2:43" ht="15.5" x14ac:dyDescent="0.35"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</row>
    <row r="138" spans="2:43" ht="15.5" x14ac:dyDescent="0.35"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</row>
    <row r="139" spans="2:43" ht="15.5" x14ac:dyDescent="0.35"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</row>
    <row r="140" spans="2:43" ht="15.5" x14ac:dyDescent="0.35"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</row>
    <row r="141" spans="2:43" ht="15.5" x14ac:dyDescent="0.35"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</row>
    <row r="142" spans="2:43" ht="15.5" x14ac:dyDescent="0.35"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</row>
    <row r="143" spans="2:43" ht="15.5" x14ac:dyDescent="0.35"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</row>
    <row r="144" spans="2:43" ht="15.5" x14ac:dyDescent="0.35"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</row>
    <row r="145" spans="2:43" ht="15.5" x14ac:dyDescent="0.35"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</row>
    <row r="146" spans="2:43" ht="15.5" x14ac:dyDescent="0.35"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</row>
    <row r="147" spans="2:43" ht="15.5" x14ac:dyDescent="0.35"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</row>
    <row r="148" spans="2:43" ht="15.5" x14ac:dyDescent="0.35"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</row>
    <row r="149" spans="2:43" ht="15.5" x14ac:dyDescent="0.35"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</row>
    <row r="150" spans="2:43" ht="15.5" x14ac:dyDescent="0.35"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</row>
    <row r="151" spans="2:43" ht="15.5" x14ac:dyDescent="0.35"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</row>
    <row r="152" spans="2:43" ht="15.5" x14ac:dyDescent="0.35"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</row>
    <row r="153" spans="2:43" ht="15.5" x14ac:dyDescent="0.35"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</row>
    <row r="154" spans="2:43" ht="15.5" x14ac:dyDescent="0.35"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</row>
    <row r="155" spans="2:43" ht="15.5" x14ac:dyDescent="0.35"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</row>
    <row r="156" spans="2:43" ht="15.5" x14ac:dyDescent="0.35"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</row>
    <row r="157" spans="2:43" ht="15.5" x14ac:dyDescent="0.35"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</row>
    <row r="158" spans="2:43" ht="15.5" x14ac:dyDescent="0.35"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</row>
    <row r="159" spans="2:43" ht="15.5" x14ac:dyDescent="0.35"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</row>
    <row r="160" spans="2:43" ht="15.5" x14ac:dyDescent="0.35"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</row>
    <row r="161" spans="2:43" ht="15.5" x14ac:dyDescent="0.35"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</row>
    <row r="162" spans="2:43" ht="15.5" x14ac:dyDescent="0.35"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</row>
    <row r="163" spans="2:43" ht="15.5" x14ac:dyDescent="0.35"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</row>
    <row r="164" spans="2:43" ht="15.5" x14ac:dyDescent="0.35"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</row>
    <row r="165" spans="2:43" ht="15.5" x14ac:dyDescent="0.35"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</row>
    <row r="166" spans="2:43" ht="15.5" x14ac:dyDescent="0.35"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</row>
    <row r="167" spans="2:43" ht="15.5" x14ac:dyDescent="0.35"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</row>
    <row r="168" spans="2:43" ht="15.5" x14ac:dyDescent="0.35"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</row>
    <row r="169" spans="2:43" ht="15.5" x14ac:dyDescent="0.35"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</row>
    <row r="170" spans="2:43" ht="15.5" x14ac:dyDescent="0.35"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</row>
    <row r="171" spans="2:43" ht="15.5" x14ac:dyDescent="0.35"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</row>
    <row r="172" spans="2:43" ht="15.5" x14ac:dyDescent="0.35"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</row>
    <row r="173" spans="2:43" ht="15.5" x14ac:dyDescent="0.35"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</row>
    <row r="174" spans="2:43" ht="15.5" x14ac:dyDescent="0.35"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</row>
    <row r="175" spans="2:43" ht="15.5" x14ac:dyDescent="0.35"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</row>
    <row r="176" spans="2:43" ht="15.5" x14ac:dyDescent="0.35"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</row>
    <row r="177" spans="2:43" ht="15.5" x14ac:dyDescent="0.35"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</row>
    <row r="178" spans="2:43" ht="15.5" x14ac:dyDescent="0.35"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</row>
    <row r="179" spans="2:43" ht="15.5" x14ac:dyDescent="0.35"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</row>
    <row r="180" spans="2:43" ht="15.5" x14ac:dyDescent="0.35"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</row>
    <row r="181" spans="2:43" ht="15.5" x14ac:dyDescent="0.35"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</row>
    <row r="182" spans="2:43" ht="15.5" x14ac:dyDescent="0.35"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</row>
    <row r="183" spans="2:43" ht="15.5" x14ac:dyDescent="0.35"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</row>
    <row r="184" spans="2:43" ht="15.5" x14ac:dyDescent="0.35"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</row>
    <row r="185" spans="2:43" ht="15.5" x14ac:dyDescent="0.35"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</row>
    <row r="186" spans="2:43" ht="15.5" x14ac:dyDescent="0.35"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</row>
    <row r="187" spans="2:43" ht="15.5" x14ac:dyDescent="0.35"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</row>
    <row r="188" spans="2:43" ht="15.5" x14ac:dyDescent="0.35"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</row>
    <row r="189" spans="2:43" ht="15.5" x14ac:dyDescent="0.35"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</row>
    <row r="190" spans="2:43" ht="15.5" x14ac:dyDescent="0.35"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</row>
    <row r="191" spans="2:43" ht="15.5" x14ac:dyDescent="0.35"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</row>
    <row r="192" spans="2:43" ht="15.5" x14ac:dyDescent="0.35"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</row>
    <row r="193" spans="2:43" ht="15.5" x14ac:dyDescent="0.35"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</row>
    <row r="194" spans="2:43" ht="15.5" x14ac:dyDescent="0.35"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</row>
    <row r="195" spans="2:43" ht="15.5" x14ac:dyDescent="0.35"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</row>
    <row r="196" spans="2:43" ht="15.5" x14ac:dyDescent="0.35"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</row>
    <row r="197" spans="2:43" ht="15.5" x14ac:dyDescent="0.35"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</row>
    <row r="198" spans="2:43" ht="15.5" x14ac:dyDescent="0.35"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</row>
    <row r="199" spans="2:43" ht="15.5" x14ac:dyDescent="0.35"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</row>
    <row r="200" spans="2:43" ht="15.5" x14ac:dyDescent="0.35"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</row>
    <row r="201" spans="2:43" ht="15.5" x14ac:dyDescent="0.35"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</row>
    <row r="202" spans="2:43" ht="15.5" x14ac:dyDescent="0.35"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</row>
    <row r="203" spans="2:43" ht="15.5" x14ac:dyDescent="0.35"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</row>
    <row r="204" spans="2:43" ht="15.5" x14ac:dyDescent="0.35"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</row>
    <row r="205" spans="2:43" ht="15.5" x14ac:dyDescent="0.35"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  <c r="AQ205" s="30"/>
    </row>
    <row r="206" spans="2:43" ht="15.5" x14ac:dyDescent="0.35"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</row>
    <row r="207" spans="2:43" ht="15.5" x14ac:dyDescent="0.35"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</row>
    <row r="208" spans="2:43" ht="15.5" x14ac:dyDescent="0.35"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</row>
    <row r="209" spans="2:43" ht="15.5" x14ac:dyDescent="0.35"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</row>
    <row r="210" spans="2:43" ht="15.5" x14ac:dyDescent="0.35"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</row>
    <row r="211" spans="2:43" ht="15.5" x14ac:dyDescent="0.35"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</row>
    <row r="212" spans="2:43" ht="15.5" x14ac:dyDescent="0.35"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</row>
    <row r="213" spans="2:43" ht="15.5" x14ac:dyDescent="0.35"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</row>
    <row r="214" spans="2:43" ht="15.5" x14ac:dyDescent="0.35"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</row>
    <row r="215" spans="2:43" ht="15.5" x14ac:dyDescent="0.35"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</row>
    <row r="216" spans="2:43" ht="15.5" x14ac:dyDescent="0.35"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</row>
    <row r="217" spans="2:43" ht="15.5" x14ac:dyDescent="0.35"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</row>
    <row r="218" spans="2:43" ht="15.5" x14ac:dyDescent="0.35"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</row>
    <row r="219" spans="2:43" ht="15.5" x14ac:dyDescent="0.35"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</row>
    <row r="220" spans="2:43" ht="15.5" x14ac:dyDescent="0.35"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</row>
    <row r="221" spans="2:43" ht="15.5" x14ac:dyDescent="0.35"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</row>
    <row r="222" spans="2:43" ht="15.5" x14ac:dyDescent="0.35"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</row>
    <row r="223" spans="2:43" ht="15.5" x14ac:dyDescent="0.35"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</row>
    <row r="224" spans="2:43" ht="15.5" x14ac:dyDescent="0.35"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</row>
    <row r="225" spans="2:43" ht="15.5" x14ac:dyDescent="0.35"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</row>
    <row r="226" spans="2:43" ht="15.5" x14ac:dyDescent="0.35"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</row>
    <row r="227" spans="2:43" ht="15.5" x14ac:dyDescent="0.35"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</row>
    <row r="228" spans="2:43" ht="15.5" x14ac:dyDescent="0.35"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</row>
    <row r="229" spans="2:43" ht="15.5" x14ac:dyDescent="0.35"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</row>
    <row r="230" spans="2:43" ht="15.5" x14ac:dyDescent="0.35"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</row>
    <row r="231" spans="2:43" ht="15.5" x14ac:dyDescent="0.35"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</row>
    <row r="232" spans="2:43" ht="15.5" x14ac:dyDescent="0.35"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</row>
    <row r="233" spans="2:43" ht="15.5" x14ac:dyDescent="0.35"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</row>
    <row r="234" spans="2:43" ht="15.5" x14ac:dyDescent="0.35"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</row>
    <row r="235" spans="2:43" ht="15.5" x14ac:dyDescent="0.35"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</row>
    <row r="236" spans="2:43" ht="15.5" x14ac:dyDescent="0.35"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</row>
    <row r="237" spans="2:43" ht="15.5" x14ac:dyDescent="0.35"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</row>
    <row r="238" spans="2:43" ht="15.5" x14ac:dyDescent="0.35"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</row>
    <row r="239" spans="2:43" ht="15.5" x14ac:dyDescent="0.35"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</row>
    <row r="240" spans="2:43" ht="15.5" x14ac:dyDescent="0.35"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</row>
    <row r="241" spans="2:43" ht="15.5" x14ac:dyDescent="0.35"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</row>
    <row r="242" spans="2:43" ht="15.5" x14ac:dyDescent="0.35"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</row>
    <row r="243" spans="2:43" ht="15.5" x14ac:dyDescent="0.35"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</row>
    <row r="244" spans="2:43" ht="15.5" x14ac:dyDescent="0.35"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</row>
    <row r="245" spans="2:43" ht="15.5" x14ac:dyDescent="0.35"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</row>
    <row r="246" spans="2:43" ht="15.5" x14ac:dyDescent="0.35"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</row>
    <row r="247" spans="2:43" ht="15.5" x14ac:dyDescent="0.35"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</row>
    <row r="248" spans="2:43" ht="15.5" x14ac:dyDescent="0.35"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</row>
    <row r="249" spans="2:43" ht="15.5" x14ac:dyDescent="0.35"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</row>
    <row r="250" spans="2:43" ht="15.5" x14ac:dyDescent="0.35"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</row>
    <row r="251" spans="2:43" ht="15.5" x14ac:dyDescent="0.35"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</row>
    <row r="252" spans="2:43" ht="15.5" x14ac:dyDescent="0.35"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</row>
    <row r="253" spans="2:43" ht="15.5" x14ac:dyDescent="0.35"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</row>
    <row r="254" spans="2:43" ht="15.5" x14ac:dyDescent="0.35"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</row>
    <row r="255" spans="2:43" ht="15.5" x14ac:dyDescent="0.35"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</row>
    <row r="256" spans="2:43" ht="15.5" x14ac:dyDescent="0.35"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</row>
    <row r="257" spans="2:43" ht="15.5" x14ac:dyDescent="0.35"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</row>
    <row r="258" spans="2:43" ht="15.5" x14ac:dyDescent="0.35"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</row>
    <row r="259" spans="2:43" ht="15.5" x14ac:dyDescent="0.35"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</row>
    <row r="260" spans="2:43" ht="15.5" x14ac:dyDescent="0.35"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</row>
    <row r="261" spans="2:43" ht="15.5" x14ac:dyDescent="0.35"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</row>
    <row r="262" spans="2:43" ht="15.5" x14ac:dyDescent="0.35"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</row>
    <row r="263" spans="2:43" ht="15.5" x14ac:dyDescent="0.35"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</row>
    <row r="264" spans="2:43" ht="15.5" x14ac:dyDescent="0.35"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</row>
    <row r="265" spans="2:43" ht="15.5" x14ac:dyDescent="0.35"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</row>
    <row r="266" spans="2:43" ht="15.5" x14ac:dyDescent="0.35"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</row>
    <row r="267" spans="2:43" ht="15.5" x14ac:dyDescent="0.35"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</row>
    <row r="268" spans="2:43" ht="15.5" x14ac:dyDescent="0.35"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</row>
    <row r="269" spans="2:43" ht="15.5" x14ac:dyDescent="0.35"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</row>
    <row r="270" spans="2:43" ht="15.5" x14ac:dyDescent="0.35"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</row>
    <row r="271" spans="2:43" ht="15.5" x14ac:dyDescent="0.35"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</row>
    <row r="272" spans="2:43" ht="15.5" x14ac:dyDescent="0.35"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</row>
    <row r="273" spans="2:43" ht="15.5" x14ac:dyDescent="0.35"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</row>
    <row r="274" spans="2:43" ht="15.5" x14ac:dyDescent="0.35"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</row>
    <row r="275" spans="2:43" ht="15.5" x14ac:dyDescent="0.35"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</row>
    <row r="276" spans="2:43" ht="15.5" x14ac:dyDescent="0.35"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</row>
    <row r="277" spans="2:43" ht="15.5" x14ac:dyDescent="0.35"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</row>
    <row r="278" spans="2:43" ht="15.5" x14ac:dyDescent="0.35"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</row>
    <row r="279" spans="2:43" ht="15.5" x14ac:dyDescent="0.35"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</row>
    <row r="280" spans="2:43" ht="15.5" x14ac:dyDescent="0.35"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</row>
    <row r="281" spans="2:43" ht="15.5" x14ac:dyDescent="0.35"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</row>
    <row r="282" spans="2:43" ht="15.5" x14ac:dyDescent="0.35"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</row>
    <row r="283" spans="2:43" ht="15.5" x14ac:dyDescent="0.35"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</row>
    <row r="284" spans="2:43" ht="15.5" x14ac:dyDescent="0.35"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</row>
    <row r="285" spans="2:43" ht="15.5" x14ac:dyDescent="0.35"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</row>
    <row r="286" spans="2:43" ht="15.5" x14ac:dyDescent="0.35"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</row>
    <row r="287" spans="2:43" ht="15.5" x14ac:dyDescent="0.35"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</row>
    <row r="288" spans="2:43" ht="15.5" x14ac:dyDescent="0.35"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</row>
    <row r="289" spans="2:43" ht="15.5" x14ac:dyDescent="0.35"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</row>
    <row r="290" spans="2:43" ht="15.5" x14ac:dyDescent="0.35"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</row>
    <row r="291" spans="2:43" ht="15.5" x14ac:dyDescent="0.35"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</row>
    <row r="292" spans="2:43" ht="15.5" x14ac:dyDescent="0.35"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</row>
    <row r="293" spans="2:43" ht="15.5" x14ac:dyDescent="0.35"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</row>
    <row r="294" spans="2:43" ht="15.5" x14ac:dyDescent="0.35"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</row>
    <row r="295" spans="2:43" ht="15.5" x14ac:dyDescent="0.35"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</row>
    <row r="296" spans="2:43" ht="15.5" x14ac:dyDescent="0.35"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</row>
    <row r="297" spans="2:43" ht="15.5" x14ac:dyDescent="0.35"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</row>
    <row r="298" spans="2:43" ht="15.5" x14ac:dyDescent="0.35"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</row>
    <row r="299" spans="2:43" ht="15.5" x14ac:dyDescent="0.35"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</row>
    <row r="300" spans="2:43" ht="15.5" x14ac:dyDescent="0.35"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</row>
    <row r="301" spans="2:43" ht="15.5" x14ac:dyDescent="0.35"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</row>
    <row r="302" spans="2:43" ht="15.5" x14ac:dyDescent="0.35"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</row>
    <row r="303" spans="2:43" ht="15.5" x14ac:dyDescent="0.35"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</row>
    <row r="304" spans="2:43" ht="15.5" x14ac:dyDescent="0.35"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</row>
    <row r="305" spans="2:43" ht="15.5" x14ac:dyDescent="0.35"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</row>
    <row r="306" spans="2:43" ht="15.5" x14ac:dyDescent="0.35"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</row>
    <row r="307" spans="2:43" ht="15.5" x14ac:dyDescent="0.35"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</row>
    <row r="308" spans="2:43" ht="15.5" x14ac:dyDescent="0.35"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</row>
    <row r="309" spans="2:43" ht="15.5" x14ac:dyDescent="0.35"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</row>
    <row r="310" spans="2:43" ht="15.5" x14ac:dyDescent="0.35"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</row>
    <row r="311" spans="2:43" ht="15.5" x14ac:dyDescent="0.35"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</row>
    <row r="312" spans="2:43" ht="15.5" x14ac:dyDescent="0.35"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</row>
    <row r="313" spans="2:43" ht="15.5" x14ac:dyDescent="0.35"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</row>
    <row r="314" spans="2:43" ht="15.5" x14ac:dyDescent="0.35"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</row>
    <row r="315" spans="2:43" ht="15.5" x14ac:dyDescent="0.35"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</row>
    <row r="316" spans="2:43" ht="15.5" x14ac:dyDescent="0.35"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</row>
    <row r="317" spans="2:43" ht="15.5" x14ac:dyDescent="0.35"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</row>
    <row r="318" spans="2:43" ht="15.5" x14ac:dyDescent="0.35"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</row>
    <row r="319" spans="2:43" ht="15.5" x14ac:dyDescent="0.35"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</row>
    <row r="320" spans="2:43" ht="15.5" x14ac:dyDescent="0.35"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</row>
    <row r="321" spans="2:43" ht="15.5" x14ac:dyDescent="0.35"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</row>
    <row r="322" spans="2:43" ht="15.5" x14ac:dyDescent="0.35"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</row>
    <row r="323" spans="2:43" ht="15.5" x14ac:dyDescent="0.35"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</row>
    <row r="324" spans="2:43" ht="15.5" x14ac:dyDescent="0.35"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</row>
    <row r="325" spans="2:43" ht="15.5" x14ac:dyDescent="0.35"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</row>
    <row r="326" spans="2:43" ht="15.5" x14ac:dyDescent="0.35"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</row>
    <row r="327" spans="2:43" ht="15.5" x14ac:dyDescent="0.35"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</row>
    <row r="328" spans="2:43" ht="15.5" x14ac:dyDescent="0.35"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</row>
    <row r="329" spans="2:43" ht="15.5" x14ac:dyDescent="0.35"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</row>
    <row r="330" spans="2:43" ht="15.5" x14ac:dyDescent="0.35"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</row>
    <row r="331" spans="2:43" ht="15.5" x14ac:dyDescent="0.35"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</row>
    <row r="332" spans="2:43" ht="15.5" x14ac:dyDescent="0.35"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</row>
    <row r="333" spans="2:43" ht="15.5" x14ac:dyDescent="0.35"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</row>
    <row r="334" spans="2:43" ht="15.5" x14ac:dyDescent="0.35"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</row>
    <row r="335" spans="2:43" ht="15.5" x14ac:dyDescent="0.35"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</row>
    <row r="336" spans="2:43" ht="15.5" x14ac:dyDescent="0.35"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</row>
    <row r="337" spans="2:43" ht="15.5" x14ac:dyDescent="0.35"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</row>
    <row r="338" spans="2:43" ht="15.5" x14ac:dyDescent="0.35"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</row>
    <row r="339" spans="2:43" ht="15.5" x14ac:dyDescent="0.35"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</row>
    <row r="340" spans="2:43" ht="15.5" x14ac:dyDescent="0.35"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</row>
    <row r="341" spans="2:43" ht="15.5" x14ac:dyDescent="0.35"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</row>
    <row r="342" spans="2:43" ht="15.5" x14ac:dyDescent="0.35"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</row>
    <row r="343" spans="2:43" ht="15.5" x14ac:dyDescent="0.35"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  <c r="AQ343" s="30"/>
    </row>
    <row r="344" spans="2:43" ht="15.5" x14ac:dyDescent="0.35"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  <c r="AQ344" s="30"/>
    </row>
    <row r="345" spans="2:43" ht="15.5" x14ac:dyDescent="0.35"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  <c r="AQ345" s="30"/>
    </row>
    <row r="346" spans="2:43" ht="15.5" x14ac:dyDescent="0.35"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  <c r="AQ346" s="30"/>
    </row>
    <row r="347" spans="2:43" ht="15.5" x14ac:dyDescent="0.35"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  <c r="AQ347" s="30"/>
    </row>
    <row r="348" spans="2:43" ht="15.5" x14ac:dyDescent="0.35"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  <c r="AQ348" s="30"/>
    </row>
  </sheetData>
  <printOptions horizontalCentered="1"/>
  <pageMargins left="0.25" right="0.25" top="0.5" bottom="0.5" header="0.3" footer="0.3"/>
  <pageSetup scale="46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pdfPage7">
                <anchor moveWithCells="1" sizeWithCells="1">
                  <from>
                    <xdr:col>0</xdr:col>
                    <xdr:colOff>19050</xdr:colOff>
                    <xdr:row>0</xdr:row>
                    <xdr:rowOff>12700</xdr:rowOff>
                  </from>
                  <to>
                    <xdr:col>0</xdr:col>
                    <xdr:colOff>31750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AFA82-5AF0-4D6A-B9FF-12D36A8AB6F9}">
  <sheetPr transitionEvaluation="1" transitionEntry="1" codeName="Sheet9">
    <pageSetUpPr fitToPage="1"/>
  </sheetPr>
  <dimension ref="A1:HZ149"/>
  <sheetViews>
    <sheetView defaultGridColor="0" topLeftCell="A25" colorId="22" zoomScale="80" zoomScaleNormal="80" zoomScaleSheetLayoutView="70" workbookViewId="0">
      <selection activeCell="J47" sqref="J47"/>
    </sheetView>
  </sheetViews>
  <sheetFormatPr defaultColWidth="9.58203125" defaultRowHeight="15.5" x14ac:dyDescent="0.35"/>
  <cols>
    <col min="1" max="1" width="40.58203125" style="58" customWidth="1"/>
    <col min="2" max="10" width="18.83203125" customWidth="1"/>
    <col min="11" max="14" width="9.58203125" hidden="1" customWidth="1"/>
    <col min="123" max="123" width="9.58203125" collapsed="1"/>
  </cols>
  <sheetData>
    <row r="1" spans="1:234" s="2" customFormat="1" ht="21" x14ac:dyDescent="0.55000000000000004">
      <c r="A1" s="286" t="str">
        <f>Page_1!A1</f>
        <v>IRR 2023 Sch A-13 F.Z25.XLSM</v>
      </c>
      <c r="B1" s="251"/>
      <c r="C1" s="251"/>
      <c r="D1" s="273"/>
      <c r="E1" s="275"/>
      <c r="F1" s="275"/>
      <c r="G1" s="275"/>
      <c r="H1" s="275"/>
      <c r="I1" s="275"/>
      <c r="J1" s="275"/>
      <c r="K1" s="1"/>
      <c r="L1" s="1"/>
      <c r="M1" s="1"/>
      <c r="N1" s="1"/>
    </row>
    <row r="2" spans="1:234" s="2" customFormat="1" ht="21" x14ac:dyDescent="0.55000000000000004">
      <c r="A2" s="265" t="str">
        <f>Page_1!A2</f>
        <v>09/20/2022</v>
      </c>
      <c r="B2" s="274"/>
      <c r="C2" s="277"/>
      <c r="D2" s="277"/>
      <c r="E2" s="277"/>
      <c r="F2" s="277"/>
      <c r="G2" s="277"/>
      <c r="H2" s="277"/>
      <c r="I2" s="277"/>
      <c r="J2" s="277"/>
      <c r="K2" s="1"/>
      <c r="L2" s="1"/>
      <c r="M2" s="1"/>
      <c r="N2" s="1"/>
    </row>
    <row r="3" spans="1:234" s="2" customFormat="1" ht="21" x14ac:dyDescent="0.55000000000000004">
      <c r="A3" s="238" t="str">
        <f>Page_1!A3</f>
        <v>CENTRAL VALLEY PROJECT</v>
      </c>
      <c r="B3" s="274"/>
      <c r="C3" s="277"/>
      <c r="D3" s="277"/>
      <c r="E3" s="277"/>
      <c r="F3" s="277"/>
      <c r="G3" s="277"/>
      <c r="H3" s="277"/>
      <c r="I3" s="277"/>
      <c r="J3" s="277"/>
      <c r="K3" s="1"/>
      <c r="L3" s="1"/>
      <c r="M3" s="1"/>
      <c r="N3" s="1"/>
    </row>
    <row r="4" spans="1:234" s="2" customFormat="1" ht="84" x14ac:dyDescent="0.55000000000000004">
      <c r="A4" s="238" t="str">
        <f>Page_1!A4</f>
        <v>SCHEDULE OF HISTORICAL (1981-2021) &amp; PROJECTED (2022-2030) IRRIGATION WATER DELIVERIES (IN ACRE FEET)</v>
      </c>
      <c r="B4" s="274"/>
      <c r="C4" s="277"/>
      <c r="D4" s="277"/>
      <c r="E4" s="277"/>
      <c r="F4" s="277"/>
      <c r="G4" s="277"/>
      <c r="H4" s="277"/>
      <c r="I4" s="277"/>
      <c r="J4" s="277"/>
      <c r="K4" s="1"/>
      <c r="L4" s="1"/>
      <c r="M4" s="1"/>
      <c r="N4" s="1"/>
    </row>
    <row r="5" spans="1:234" s="2" customFormat="1" ht="63" x14ac:dyDescent="0.55000000000000004">
      <c r="A5" s="238" t="str">
        <f>Page_1!A5</f>
        <v>FOR CALCULATION OF INDIVIDUAL CONTRACTOR PRORATED CONSTRUCTION COSTS AND RATE</v>
      </c>
      <c r="B5" s="251"/>
      <c r="C5" s="251"/>
      <c r="D5" s="273"/>
      <c r="E5" s="274"/>
      <c r="F5" s="274"/>
      <c r="G5" s="274"/>
      <c r="H5" s="274"/>
      <c r="I5" s="274"/>
      <c r="J5" s="274"/>
      <c r="K5" s="1"/>
      <c r="L5" s="1" t="s">
        <v>140</v>
      </c>
      <c r="M5" s="1"/>
      <c r="N5" s="1" t="s">
        <v>140</v>
      </c>
    </row>
    <row r="6" spans="1:234" s="69" customFormat="1" ht="105" x14ac:dyDescent="0.35">
      <c r="A6" s="375" t="s">
        <v>34</v>
      </c>
      <c r="B6" s="361" t="s">
        <v>426</v>
      </c>
      <c r="C6" s="376" t="s">
        <v>427</v>
      </c>
      <c r="D6" s="361" t="s">
        <v>428</v>
      </c>
      <c r="E6" s="377" t="s">
        <v>429</v>
      </c>
      <c r="F6" s="356" t="s">
        <v>430</v>
      </c>
      <c r="G6" s="378" t="s">
        <v>431</v>
      </c>
      <c r="H6" s="377" t="s">
        <v>141</v>
      </c>
      <c r="I6" s="356" t="s">
        <v>142</v>
      </c>
      <c r="J6" s="356" t="s">
        <v>460</v>
      </c>
      <c r="K6" s="68" t="s">
        <v>143</v>
      </c>
      <c r="L6" s="68"/>
      <c r="M6" s="68" t="s">
        <v>143</v>
      </c>
    </row>
    <row r="7" spans="1:234" ht="17.5" x14ac:dyDescent="0.45">
      <c r="A7" s="269" t="s">
        <v>42</v>
      </c>
      <c r="B7" s="281">
        <v>3988</v>
      </c>
      <c r="C7" s="281"/>
      <c r="D7" s="281">
        <v>1367</v>
      </c>
      <c r="E7" s="281">
        <f>(6500/7700)*10848</f>
        <v>9157.4025974025972</v>
      </c>
      <c r="F7" s="281">
        <f>(500/7900)*474</f>
        <v>30.000000000000004</v>
      </c>
      <c r="G7" s="281">
        <f t="shared" ref="G7:G38" si="0">SUM(E7:F7)</f>
        <v>9187.4025974025972</v>
      </c>
      <c r="H7" s="299">
        <v>0</v>
      </c>
      <c r="I7" s="299">
        <v>0</v>
      </c>
      <c r="J7" s="299">
        <f>Table26[[#This Row],[
FRIANT-KERN CANAL -KAWEAH DELTA WCD   1/
CLASS 1]]+Table26[[#This Row],[
FRIANT-KERN CANAL -KAWEAH DELTA WCD   1/
CLASS 2]]</f>
        <v>0</v>
      </c>
      <c r="K7" s="63">
        <f t="shared" ref="K7:K38" si="1">SUM(B7,C7,D7,E7,H7)</f>
        <v>14512.402597402597</v>
      </c>
      <c r="L7" s="57"/>
      <c r="M7" s="63">
        <f t="shared" ref="M7:M38" si="2">SUM(F7,J7)</f>
        <v>30.000000000000004</v>
      </c>
      <c r="N7" s="48"/>
      <c r="O7" s="48"/>
      <c r="P7" s="48"/>
      <c r="Q7" s="48"/>
      <c r="R7" s="48"/>
      <c r="S7" s="48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  <c r="AT7" s="49"/>
      <c r="AU7" s="49"/>
      <c r="AV7" s="49"/>
      <c r="AW7" s="49"/>
      <c r="AX7" s="49"/>
      <c r="AY7" s="49"/>
      <c r="AZ7" s="49"/>
      <c r="BA7" s="49"/>
      <c r="BB7" s="49"/>
      <c r="BC7" s="49"/>
      <c r="BD7" s="49"/>
      <c r="BE7" s="49"/>
      <c r="BF7" s="49"/>
      <c r="BG7" s="49"/>
      <c r="BH7" s="49"/>
      <c r="BI7" s="49"/>
      <c r="BJ7" s="49"/>
      <c r="BK7" s="49"/>
      <c r="BL7" s="49"/>
      <c r="BM7" s="49"/>
      <c r="BN7" s="49"/>
      <c r="BO7" s="49"/>
      <c r="BP7" s="49"/>
      <c r="BQ7" s="49"/>
      <c r="BR7" s="49"/>
      <c r="BS7" s="49"/>
      <c r="BT7" s="49"/>
      <c r="BU7" s="49"/>
      <c r="BV7" s="49"/>
      <c r="BW7" s="49"/>
      <c r="BX7" s="49"/>
      <c r="BY7" s="49"/>
      <c r="BZ7" s="49"/>
      <c r="CA7" s="49"/>
      <c r="CB7" s="49"/>
      <c r="CC7" s="49"/>
      <c r="CD7" s="49"/>
      <c r="CE7" s="49"/>
      <c r="CF7" s="49"/>
      <c r="CG7" s="49"/>
      <c r="CH7" s="49"/>
      <c r="CI7" s="49"/>
      <c r="CJ7" s="49"/>
      <c r="CK7" s="49"/>
      <c r="CL7" s="49"/>
      <c r="CM7" s="49"/>
      <c r="CN7" s="49"/>
      <c r="CO7" s="49"/>
      <c r="CP7" s="49"/>
      <c r="CQ7" s="49"/>
      <c r="CR7" s="49"/>
      <c r="CS7" s="49"/>
      <c r="CT7" s="49"/>
      <c r="CU7" s="49"/>
      <c r="CV7" s="49"/>
      <c r="CW7" s="49"/>
      <c r="CX7" s="49"/>
      <c r="CY7" s="49"/>
      <c r="CZ7" s="49"/>
      <c r="DA7" s="49"/>
      <c r="DB7" s="49"/>
      <c r="DC7" s="49"/>
      <c r="DD7" s="49"/>
      <c r="DE7" s="49"/>
      <c r="DF7" s="49"/>
      <c r="DG7" s="49"/>
      <c r="DH7" s="49"/>
      <c r="DI7" s="49"/>
      <c r="DJ7" s="49"/>
      <c r="DK7" s="49"/>
      <c r="DL7" s="49"/>
      <c r="DM7" s="49"/>
      <c r="DN7" s="49"/>
      <c r="DO7" s="49"/>
      <c r="DP7" s="49"/>
      <c r="DQ7" s="49"/>
      <c r="DR7" s="49"/>
      <c r="DS7" s="49"/>
      <c r="DT7" s="49"/>
      <c r="DU7" s="49"/>
      <c r="DV7" s="49"/>
      <c r="DW7" s="49"/>
      <c r="DX7" s="49"/>
      <c r="DY7" s="49"/>
      <c r="DZ7" s="49"/>
      <c r="EA7" s="49"/>
      <c r="EB7" s="49"/>
      <c r="EC7" s="49"/>
      <c r="ED7" s="49"/>
      <c r="EE7" s="49"/>
      <c r="EF7" s="49"/>
      <c r="EG7" s="49"/>
      <c r="EH7" s="49"/>
      <c r="EI7" s="49"/>
      <c r="EJ7" s="49"/>
      <c r="EK7" s="49"/>
      <c r="EL7" s="49"/>
      <c r="EM7" s="49"/>
      <c r="EN7" s="49"/>
      <c r="EO7" s="49"/>
      <c r="EP7" s="49"/>
      <c r="EQ7" s="49"/>
      <c r="ER7" s="49"/>
      <c r="ES7" s="49"/>
      <c r="ET7" s="49"/>
      <c r="EU7" s="49"/>
      <c r="EV7" s="49"/>
      <c r="EW7" s="49"/>
      <c r="EX7" s="49"/>
      <c r="EY7" s="49"/>
      <c r="EZ7" s="49"/>
      <c r="FA7" s="49"/>
      <c r="FB7" s="49"/>
      <c r="FC7" s="49"/>
      <c r="FD7" s="49"/>
      <c r="FE7" s="49"/>
      <c r="FF7" s="49"/>
      <c r="FG7" s="49"/>
      <c r="FH7" s="49"/>
      <c r="FI7" s="49"/>
      <c r="FJ7" s="49"/>
      <c r="FK7" s="49"/>
      <c r="FL7" s="49"/>
      <c r="FM7" s="49"/>
      <c r="FN7" s="49"/>
      <c r="FO7" s="49"/>
      <c r="FP7" s="49"/>
      <c r="FQ7" s="49"/>
      <c r="FR7" s="49"/>
      <c r="FS7" s="49"/>
      <c r="FT7" s="49"/>
      <c r="FU7" s="49"/>
      <c r="FV7" s="49"/>
      <c r="FW7" s="49"/>
      <c r="FX7" s="49"/>
      <c r="FY7" s="49"/>
      <c r="FZ7" s="49"/>
      <c r="GA7" s="49"/>
      <c r="GB7" s="49"/>
      <c r="GC7" s="49"/>
      <c r="GD7" s="49"/>
      <c r="GE7" s="49"/>
      <c r="GF7" s="49"/>
      <c r="GG7" s="49"/>
      <c r="GH7" s="49"/>
      <c r="GI7" s="49"/>
      <c r="GJ7" s="49"/>
      <c r="GK7" s="49"/>
      <c r="GL7" s="49"/>
      <c r="GM7" s="49"/>
      <c r="GN7" s="49"/>
      <c r="GO7" s="49"/>
      <c r="GP7" s="49"/>
      <c r="GQ7" s="49"/>
      <c r="GR7" s="49"/>
      <c r="GS7" s="49"/>
      <c r="GT7" s="49"/>
      <c r="GU7" s="49"/>
      <c r="GV7" s="49"/>
      <c r="GW7" s="49"/>
      <c r="GX7" s="49"/>
      <c r="GY7" s="49"/>
      <c r="GZ7" s="49"/>
      <c r="HA7" s="49"/>
      <c r="HB7" s="49"/>
      <c r="HC7" s="49"/>
      <c r="HD7" s="49"/>
      <c r="HE7" s="49"/>
      <c r="HF7" s="49"/>
      <c r="HG7" s="49"/>
      <c r="HH7" s="49"/>
      <c r="HI7" s="49"/>
      <c r="HJ7" s="49"/>
      <c r="HK7" s="49"/>
      <c r="HL7" s="49"/>
      <c r="HM7" s="49"/>
      <c r="HN7" s="49"/>
      <c r="HO7" s="49"/>
      <c r="HP7" s="49"/>
      <c r="HQ7" s="49"/>
      <c r="HR7" s="49"/>
      <c r="HS7" s="49"/>
      <c r="HT7" s="49"/>
      <c r="HU7" s="49"/>
      <c r="HV7" s="49"/>
      <c r="HW7" s="49"/>
      <c r="HX7" s="49"/>
      <c r="HY7" s="49"/>
      <c r="HZ7" s="49"/>
    </row>
    <row r="8" spans="1:234" ht="17.5" x14ac:dyDescent="0.45">
      <c r="A8" s="269" t="s">
        <v>43</v>
      </c>
      <c r="B8" s="281">
        <v>2695</v>
      </c>
      <c r="C8" s="281"/>
      <c r="D8" s="281">
        <v>1689</v>
      </c>
      <c r="E8" s="281">
        <f>(6500/7700)*6783</f>
        <v>5725.909090909091</v>
      </c>
      <c r="F8" s="281">
        <f>(500/7900)*8374</f>
        <v>530</v>
      </c>
      <c r="G8" s="281">
        <f t="shared" si="0"/>
        <v>6255.909090909091</v>
      </c>
      <c r="H8" s="287">
        <v>0</v>
      </c>
      <c r="I8" s="287">
        <v>0</v>
      </c>
      <c r="J8" s="287">
        <f>Table26[[#This Row],[
FRIANT-KERN CANAL -KAWEAH DELTA WCD   1/
CLASS 1]]+Table26[[#This Row],[
FRIANT-KERN CANAL -KAWEAH DELTA WCD   1/
CLASS 2]]</f>
        <v>0</v>
      </c>
      <c r="K8" s="63">
        <f t="shared" si="1"/>
        <v>10109.909090909092</v>
      </c>
      <c r="L8" s="57"/>
      <c r="M8" s="63">
        <f t="shared" si="2"/>
        <v>530</v>
      </c>
      <c r="N8" s="48"/>
      <c r="O8" s="48"/>
      <c r="P8" s="48"/>
      <c r="Q8" s="48"/>
      <c r="R8" s="48"/>
      <c r="S8" s="48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  <c r="BM8" s="49"/>
      <c r="BN8" s="49"/>
      <c r="BO8" s="49"/>
      <c r="BP8" s="49"/>
      <c r="BQ8" s="49"/>
      <c r="BR8" s="49"/>
      <c r="BS8" s="49"/>
      <c r="BT8" s="49"/>
      <c r="BU8" s="49"/>
      <c r="BV8" s="49"/>
      <c r="BW8" s="49"/>
      <c r="BX8" s="49"/>
      <c r="BY8" s="49"/>
      <c r="BZ8" s="49"/>
      <c r="CA8" s="49"/>
      <c r="CB8" s="49"/>
      <c r="CC8" s="49"/>
      <c r="CD8" s="49"/>
      <c r="CE8" s="49"/>
      <c r="CF8" s="49"/>
      <c r="CG8" s="49"/>
      <c r="CH8" s="49"/>
      <c r="CI8" s="49"/>
      <c r="CJ8" s="49"/>
      <c r="CK8" s="49"/>
      <c r="CL8" s="49"/>
      <c r="CM8" s="49"/>
      <c r="CN8" s="49"/>
      <c r="CO8" s="49"/>
      <c r="CP8" s="49"/>
      <c r="CQ8" s="49"/>
      <c r="CR8" s="49"/>
      <c r="CS8" s="49"/>
      <c r="CT8" s="49"/>
      <c r="CU8" s="49"/>
      <c r="CV8" s="49"/>
      <c r="CW8" s="49"/>
      <c r="CX8" s="49"/>
      <c r="CY8" s="49"/>
      <c r="CZ8" s="49"/>
      <c r="DA8" s="49"/>
      <c r="DB8" s="49"/>
      <c r="DC8" s="49"/>
      <c r="DD8" s="49"/>
      <c r="DE8" s="49"/>
      <c r="DF8" s="49"/>
      <c r="DG8" s="49"/>
      <c r="DH8" s="49"/>
      <c r="DI8" s="49"/>
      <c r="DJ8" s="49"/>
      <c r="DK8" s="49"/>
      <c r="DL8" s="49"/>
      <c r="DM8" s="49"/>
      <c r="DN8" s="49"/>
      <c r="DO8" s="49"/>
      <c r="DP8" s="49"/>
      <c r="DQ8" s="49"/>
      <c r="DR8" s="49"/>
      <c r="DS8" s="49"/>
      <c r="DT8" s="49"/>
      <c r="DU8" s="49"/>
      <c r="DV8" s="49"/>
      <c r="DW8" s="49"/>
      <c r="DX8" s="49"/>
      <c r="DY8" s="49"/>
      <c r="DZ8" s="49"/>
      <c r="EA8" s="49"/>
      <c r="EB8" s="49"/>
      <c r="EC8" s="49"/>
      <c r="ED8" s="49"/>
      <c r="EE8" s="49"/>
      <c r="EF8" s="49"/>
      <c r="EG8" s="49"/>
      <c r="EH8" s="49"/>
      <c r="EI8" s="49"/>
      <c r="EJ8" s="49"/>
      <c r="EK8" s="49"/>
      <c r="EL8" s="49"/>
      <c r="EM8" s="49"/>
      <c r="EN8" s="49"/>
      <c r="EO8" s="49"/>
      <c r="EP8" s="49"/>
      <c r="EQ8" s="49"/>
      <c r="ER8" s="49"/>
      <c r="ES8" s="49"/>
      <c r="ET8" s="49"/>
      <c r="EU8" s="49"/>
      <c r="EV8" s="49"/>
      <c r="EW8" s="49"/>
      <c r="EX8" s="49"/>
      <c r="EY8" s="49"/>
      <c r="EZ8" s="49"/>
      <c r="FA8" s="49"/>
      <c r="FB8" s="49"/>
      <c r="FC8" s="49"/>
      <c r="FD8" s="49"/>
      <c r="FE8" s="49"/>
      <c r="FF8" s="49"/>
      <c r="FG8" s="49"/>
      <c r="FH8" s="49"/>
      <c r="FI8" s="49"/>
      <c r="FJ8" s="49"/>
      <c r="FK8" s="49"/>
      <c r="FL8" s="49"/>
      <c r="FM8" s="49"/>
      <c r="FN8" s="49"/>
      <c r="FO8" s="49"/>
      <c r="FP8" s="49"/>
      <c r="FQ8" s="49"/>
      <c r="FR8" s="49"/>
      <c r="FS8" s="49"/>
      <c r="FT8" s="49"/>
      <c r="FU8" s="49"/>
      <c r="FV8" s="49"/>
      <c r="FW8" s="49"/>
      <c r="FX8" s="49"/>
      <c r="FY8" s="49"/>
      <c r="FZ8" s="49"/>
      <c r="GA8" s="49"/>
      <c r="GB8" s="49"/>
      <c r="GC8" s="49"/>
      <c r="GD8" s="49"/>
      <c r="GE8" s="49"/>
      <c r="GF8" s="49"/>
      <c r="GG8" s="49"/>
      <c r="GH8" s="49"/>
      <c r="GI8" s="49"/>
      <c r="GJ8" s="49"/>
      <c r="GK8" s="49"/>
      <c r="GL8" s="49"/>
      <c r="GM8" s="49"/>
      <c r="GN8" s="49"/>
      <c r="GO8" s="49"/>
      <c r="GP8" s="49"/>
      <c r="GQ8" s="49"/>
      <c r="GR8" s="49"/>
      <c r="GS8" s="49"/>
      <c r="GT8" s="49"/>
      <c r="GU8" s="49"/>
      <c r="GV8" s="49"/>
      <c r="GW8" s="49"/>
      <c r="GX8" s="49"/>
      <c r="GY8" s="49"/>
      <c r="GZ8" s="49"/>
      <c r="HA8" s="49"/>
      <c r="HB8" s="49"/>
      <c r="HC8" s="49"/>
      <c r="HD8" s="49"/>
      <c r="HE8" s="49"/>
      <c r="HF8" s="49"/>
      <c r="HG8" s="49"/>
      <c r="HH8" s="49"/>
      <c r="HI8" s="49"/>
      <c r="HJ8" s="49"/>
      <c r="HK8" s="49"/>
      <c r="HL8" s="49"/>
      <c r="HM8" s="49"/>
      <c r="HN8" s="49"/>
      <c r="HO8" s="49"/>
      <c r="HP8" s="49"/>
      <c r="HQ8" s="49"/>
      <c r="HR8" s="49"/>
      <c r="HS8" s="49"/>
      <c r="HT8" s="49"/>
      <c r="HU8" s="49"/>
      <c r="HV8" s="49"/>
      <c r="HW8" s="49"/>
      <c r="HX8" s="49"/>
      <c r="HY8" s="49"/>
      <c r="HZ8" s="49"/>
    </row>
    <row r="9" spans="1:234" ht="17.5" x14ac:dyDescent="0.45">
      <c r="A9" s="269" t="s">
        <v>44</v>
      </c>
      <c r="B9" s="281">
        <v>3696</v>
      </c>
      <c r="C9" s="281"/>
      <c r="D9" s="281">
        <v>1547</v>
      </c>
      <c r="E9" s="281">
        <f>(6500/7700)*8782</f>
        <v>7413.3766233766228</v>
      </c>
      <c r="F9" s="281">
        <f>(500/7900)*7900</f>
        <v>500.00000000000006</v>
      </c>
      <c r="G9" s="281">
        <f t="shared" si="0"/>
        <v>7913.3766233766228</v>
      </c>
      <c r="H9" s="287">
        <v>0</v>
      </c>
      <c r="I9" s="287">
        <v>0</v>
      </c>
      <c r="J9" s="287">
        <f>Table26[[#This Row],[
FRIANT-KERN CANAL -KAWEAH DELTA WCD   1/
CLASS 1]]+Table26[[#This Row],[
FRIANT-KERN CANAL -KAWEAH DELTA WCD   1/
CLASS 2]]</f>
        <v>0</v>
      </c>
      <c r="K9" s="63">
        <f t="shared" si="1"/>
        <v>12656.376623376622</v>
      </c>
      <c r="L9" s="57"/>
      <c r="M9" s="63">
        <f t="shared" si="2"/>
        <v>500.00000000000006</v>
      </c>
      <c r="N9" s="48"/>
      <c r="O9" s="48"/>
      <c r="P9" s="48"/>
      <c r="Q9" s="48"/>
      <c r="R9" s="48"/>
      <c r="S9" s="48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</row>
    <row r="10" spans="1:234" ht="17.5" x14ac:dyDescent="0.45">
      <c r="A10" s="269" t="s">
        <v>45</v>
      </c>
      <c r="B10" s="281">
        <v>4530</v>
      </c>
      <c r="C10" s="281"/>
      <c r="D10" s="281">
        <v>1350</v>
      </c>
      <c r="E10" s="281">
        <f>(6500/7700)*7060</f>
        <v>5959.7402597402597</v>
      </c>
      <c r="F10" s="281">
        <f>(500/7900)*3792</f>
        <v>240.00000000000003</v>
      </c>
      <c r="G10" s="281">
        <f t="shared" si="0"/>
        <v>6199.7402597402597</v>
      </c>
      <c r="H10" s="287">
        <v>0</v>
      </c>
      <c r="I10" s="287">
        <v>0</v>
      </c>
      <c r="J10" s="287">
        <f>Table26[[#This Row],[
FRIANT-KERN CANAL -KAWEAH DELTA WCD   1/
CLASS 1]]+Table26[[#This Row],[
FRIANT-KERN CANAL -KAWEAH DELTA WCD   1/
CLASS 2]]</f>
        <v>0</v>
      </c>
      <c r="K10" s="63">
        <f t="shared" si="1"/>
        <v>11839.74025974026</v>
      </c>
      <c r="L10" s="57"/>
      <c r="M10" s="63">
        <f t="shared" si="2"/>
        <v>240.00000000000003</v>
      </c>
      <c r="N10" s="48"/>
      <c r="O10" s="48"/>
      <c r="P10" s="48"/>
      <c r="Q10" s="48"/>
      <c r="R10" s="48"/>
      <c r="S10" s="48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</row>
    <row r="11" spans="1:234" ht="17.5" x14ac:dyDescent="0.45">
      <c r="A11" s="269" t="s">
        <v>46</v>
      </c>
      <c r="B11" s="281">
        <v>3162</v>
      </c>
      <c r="C11" s="281"/>
      <c r="D11" s="281">
        <v>1093</v>
      </c>
      <c r="E11" s="281">
        <f>(6500/7700)*8558</f>
        <v>7224.2857142857138</v>
      </c>
      <c r="F11" s="281">
        <f>(500/7900)*948</f>
        <v>60.000000000000007</v>
      </c>
      <c r="G11" s="281">
        <f t="shared" si="0"/>
        <v>7284.2857142857138</v>
      </c>
      <c r="H11" s="287">
        <v>0</v>
      </c>
      <c r="I11" s="287">
        <v>0</v>
      </c>
      <c r="J11" s="287">
        <f>Table26[[#This Row],[
FRIANT-KERN CANAL -KAWEAH DELTA WCD   1/
CLASS 1]]+Table26[[#This Row],[
FRIANT-KERN CANAL -KAWEAH DELTA WCD   1/
CLASS 2]]</f>
        <v>0</v>
      </c>
      <c r="K11" s="63">
        <f t="shared" si="1"/>
        <v>11479.285714285714</v>
      </c>
      <c r="L11" s="57"/>
      <c r="M11" s="63">
        <f t="shared" si="2"/>
        <v>60.000000000000007</v>
      </c>
      <c r="N11" s="48"/>
      <c r="O11" s="48"/>
      <c r="P11" s="48"/>
      <c r="Q11" s="48"/>
      <c r="R11" s="48"/>
      <c r="S11" s="48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</row>
    <row r="12" spans="1:234" ht="17.5" x14ac:dyDescent="0.45">
      <c r="A12" s="269" t="s">
        <v>47</v>
      </c>
      <c r="B12" s="281">
        <v>3038</v>
      </c>
      <c r="C12" s="281"/>
      <c r="D12" s="281">
        <v>1204</v>
      </c>
      <c r="E12" s="281">
        <f>(6500/7700)*7243</f>
        <v>6114.2207792207791</v>
      </c>
      <c r="F12" s="281">
        <f>(500/7900)*8216</f>
        <v>520</v>
      </c>
      <c r="G12" s="281">
        <f t="shared" si="0"/>
        <v>6634.2207792207791</v>
      </c>
      <c r="H12" s="287">
        <v>0</v>
      </c>
      <c r="I12" s="287">
        <v>0</v>
      </c>
      <c r="J12" s="287">
        <f>Table26[[#This Row],[
FRIANT-KERN CANAL -KAWEAH DELTA WCD   1/
CLASS 1]]+Table26[[#This Row],[
FRIANT-KERN CANAL -KAWEAH DELTA WCD   1/
CLASS 2]]</f>
        <v>0</v>
      </c>
      <c r="K12" s="63">
        <f t="shared" si="1"/>
        <v>10356.220779220779</v>
      </c>
      <c r="L12" s="57"/>
      <c r="M12" s="63">
        <f t="shared" si="2"/>
        <v>520</v>
      </c>
      <c r="N12" s="48"/>
      <c r="O12" s="48"/>
      <c r="P12" s="48"/>
      <c r="Q12" s="48"/>
      <c r="R12" s="48"/>
      <c r="S12" s="48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</row>
    <row r="13" spans="1:234" ht="17.5" x14ac:dyDescent="0.45">
      <c r="A13" s="269" t="s">
        <v>48</v>
      </c>
      <c r="B13" s="281">
        <v>3761</v>
      </c>
      <c r="C13" s="281"/>
      <c r="D13" s="281">
        <v>1033</v>
      </c>
      <c r="E13" s="281">
        <f>(6500/7700)*6862</f>
        <v>5792.5974025974019</v>
      </c>
      <c r="F13" s="287">
        <f t="shared" ref="F13:F18" si="3">(500/7900)*0</f>
        <v>0</v>
      </c>
      <c r="G13" s="281">
        <f t="shared" si="0"/>
        <v>5792.5974025974019</v>
      </c>
      <c r="H13" s="287">
        <v>0</v>
      </c>
      <c r="I13" s="287">
        <f>(7400/7900)*0</f>
        <v>0</v>
      </c>
      <c r="J13" s="287">
        <f>Table26[[#This Row],[
FRIANT-KERN CANAL -KAWEAH DELTA WCD   1/
CLASS 1]]+Table26[[#This Row],[
FRIANT-KERN CANAL -KAWEAH DELTA WCD   1/
CLASS 2]]</f>
        <v>0</v>
      </c>
      <c r="K13" s="63">
        <f t="shared" si="1"/>
        <v>10586.597402597403</v>
      </c>
      <c r="L13" s="57"/>
      <c r="M13" s="63">
        <f t="shared" si="2"/>
        <v>0</v>
      </c>
      <c r="N13" s="48"/>
      <c r="O13" s="48"/>
      <c r="P13" s="48"/>
      <c r="Q13" s="48"/>
      <c r="R13" s="48"/>
      <c r="S13" s="48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</row>
    <row r="14" spans="1:234" ht="17.5" x14ac:dyDescent="0.45">
      <c r="A14" s="269" t="s">
        <v>49</v>
      </c>
      <c r="B14" s="281">
        <v>2369</v>
      </c>
      <c r="C14" s="281"/>
      <c r="D14" s="281">
        <v>982</v>
      </c>
      <c r="E14" s="281">
        <f>(6500/7700)*7751</f>
        <v>6543.0519480519479</v>
      </c>
      <c r="F14" s="287">
        <f t="shared" si="3"/>
        <v>0</v>
      </c>
      <c r="G14" s="281">
        <f t="shared" si="0"/>
        <v>6543.0519480519479</v>
      </c>
      <c r="H14" s="287">
        <v>0</v>
      </c>
      <c r="I14" s="287">
        <f>(7400/7900)*0</f>
        <v>0</v>
      </c>
      <c r="J14" s="287">
        <f>Table26[[#This Row],[
FRIANT-KERN CANAL -KAWEAH DELTA WCD   1/
CLASS 1]]+Table26[[#This Row],[
FRIANT-KERN CANAL -KAWEAH DELTA WCD   1/
CLASS 2]]</f>
        <v>0</v>
      </c>
      <c r="K14" s="63">
        <f t="shared" si="1"/>
        <v>9894.051948051947</v>
      </c>
      <c r="L14" s="57"/>
      <c r="M14" s="63">
        <f t="shared" si="2"/>
        <v>0</v>
      </c>
      <c r="N14" s="48"/>
      <c r="O14" s="48"/>
      <c r="P14" s="48"/>
      <c r="Q14" s="48"/>
      <c r="R14" s="48"/>
      <c r="S14" s="48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49"/>
      <c r="BI14" s="49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49"/>
      <c r="CA14" s="49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49"/>
      <c r="CS14" s="49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49"/>
      <c r="DK14" s="4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49"/>
      <c r="DW14" s="49"/>
      <c r="DX14" s="49"/>
      <c r="DY14" s="49"/>
      <c r="DZ14" s="49"/>
      <c r="EA14" s="49"/>
      <c r="EB14" s="49"/>
      <c r="EC14" s="49"/>
      <c r="ED14" s="49"/>
      <c r="EE14" s="49"/>
      <c r="EF14" s="49"/>
      <c r="EG14" s="49"/>
      <c r="EH14" s="49"/>
      <c r="EI14" s="49"/>
      <c r="EJ14" s="49"/>
      <c r="EK14" s="49"/>
      <c r="EL14" s="49"/>
      <c r="EM14" s="49"/>
      <c r="EN14" s="49"/>
      <c r="EO14" s="49"/>
      <c r="EP14" s="49"/>
      <c r="EQ14" s="49"/>
      <c r="ER14" s="49"/>
      <c r="ES14" s="49"/>
      <c r="ET14" s="49"/>
      <c r="EU14" s="49"/>
      <c r="EV14" s="49"/>
      <c r="EW14" s="49"/>
      <c r="EX14" s="49"/>
      <c r="EY14" s="49"/>
      <c r="EZ14" s="49"/>
      <c r="FA14" s="49"/>
      <c r="FB14" s="49"/>
      <c r="FC14" s="49"/>
      <c r="FD14" s="49"/>
      <c r="FE14" s="49"/>
      <c r="FF14" s="49"/>
      <c r="FG14" s="49"/>
      <c r="FH14" s="49"/>
      <c r="FI14" s="49"/>
      <c r="FJ14" s="49"/>
      <c r="FK14" s="49"/>
      <c r="FL14" s="49"/>
      <c r="FM14" s="49"/>
      <c r="FN14" s="49"/>
      <c r="FO14" s="49"/>
      <c r="FP14" s="49"/>
      <c r="FQ14" s="49"/>
      <c r="FR14" s="49"/>
      <c r="FS14" s="49"/>
      <c r="FT14" s="49"/>
      <c r="FU14" s="49"/>
      <c r="FV14" s="49"/>
      <c r="FW14" s="49"/>
      <c r="FX14" s="49"/>
      <c r="FY14" s="49"/>
      <c r="FZ14" s="49"/>
      <c r="GA14" s="49"/>
      <c r="GB14" s="49"/>
      <c r="GC14" s="49"/>
      <c r="GD14" s="49"/>
      <c r="GE14" s="49"/>
      <c r="GF14" s="49"/>
      <c r="GG14" s="49"/>
      <c r="GH14" s="49"/>
      <c r="GI14" s="49"/>
      <c r="GJ14" s="49"/>
      <c r="GK14" s="49"/>
      <c r="GL14" s="49"/>
      <c r="GM14" s="49"/>
      <c r="GN14" s="49"/>
      <c r="GO14" s="49"/>
      <c r="GP14" s="49"/>
      <c r="GQ14" s="49"/>
      <c r="GR14" s="49"/>
      <c r="GS14" s="49"/>
      <c r="GT14" s="49"/>
      <c r="GU14" s="49"/>
      <c r="GV14" s="49"/>
      <c r="GW14" s="49"/>
      <c r="GX14" s="49"/>
      <c r="GY14" s="49"/>
      <c r="GZ14" s="49"/>
      <c r="HA14" s="49"/>
      <c r="HB14" s="49"/>
      <c r="HC14" s="49"/>
      <c r="HD14" s="49"/>
      <c r="HE14" s="49"/>
      <c r="HF14" s="49"/>
      <c r="HG14" s="49"/>
      <c r="HH14" s="49"/>
      <c r="HI14" s="49"/>
      <c r="HJ14" s="49"/>
      <c r="HK14" s="49"/>
      <c r="HL14" s="49"/>
      <c r="HM14" s="49"/>
      <c r="HN14" s="49"/>
      <c r="HO14" s="49"/>
      <c r="HP14" s="49"/>
      <c r="HQ14" s="49"/>
      <c r="HR14" s="49"/>
      <c r="HS14" s="49"/>
      <c r="HT14" s="49"/>
      <c r="HU14" s="49"/>
      <c r="HV14" s="49"/>
      <c r="HW14" s="49"/>
      <c r="HX14" s="49"/>
      <c r="HY14" s="49"/>
      <c r="HZ14" s="49"/>
    </row>
    <row r="15" spans="1:234" ht="17.5" x14ac:dyDescent="0.45">
      <c r="A15" s="269" t="s">
        <v>50</v>
      </c>
      <c r="B15" s="281">
        <v>3427</v>
      </c>
      <c r="C15" s="281"/>
      <c r="D15" s="281">
        <v>1244</v>
      </c>
      <c r="E15" s="281">
        <f>(6500/7700)*5867</f>
        <v>4952.6623376623374</v>
      </c>
      <c r="F15" s="287">
        <f t="shared" si="3"/>
        <v>0</v>
      </c>
      <c r="G15" s="281">
        <f t="shared" si="0"/>
        <v>4952.6623376623374</v>
      </c>
      <c r="H15" s="287">
        <v>0</v>
      </c>
      <c r="I15" s="287">
        <f>(7400/7900)*0</f>
        <v>0</v>
      </c>
      <c r="J15" s="287">
        <f>Table26[[#This Row],[
FRIANT-KERN CANAL -KAWEAH DELTA WCD   1/
CLASS 1]]+Table26[[#This Row],[
FRIANT-KERN CANAL -KAWEAH DELTA WCD   1/
CLASS 2]]</f>
        <v>0</v>
      </c>
      <c r="K15" s="63">
        <f t="shared" si="1"/>
        <v>9623.6623376623374</v>
      </c>
      <c r="L15" s="57"/>
      <c r="M15" s="63">
        <f t="shared" si="2"/>
        <v>0</v>
      </c>
      <c r="N15" s="48"/>
      <c r="O15" s="48"/>
      <c r="P15" s="48"/>
      <c r="Q15" s="48"/>
      <c r="R15" s="48"/>
      <c r="S15" s="48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49"/>
      <c r="BI15" s="49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49"/>
      <c r="CA15" s="49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49"/>
      <c r="CS15" s="49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49"/>
      <c r="DK15" s="4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49"/>
      <c r="DW15" s="49"/>
      <c r="DX15" s="49"/>
      <c r="DY15" s="49"/>
      <c r="DZ15" s="49"/>
      <c r="EA15" s="49"/>
      <c r="EB15" s="49"/>
      <c r="EC15" s="49"/>
      <c r="ED15" s="49"/>
      <c r="EE15" s="49"/>
      <c r="EF15" s="49"/>
      <c r="EG15" s="49"/>
      <c r="EH15" s="49"/>
      <c r="EI15" s="49"/>
      <c r="EJ15" s="49"/>
      <c r="EK15" s="49"/>
      <c r="EL15" s="49"/>
      <c r="EM15" s="49"/>
      <c r="EN15" s="49"/>
      <c r="EO15" s="49"/>
      <c r="EP15" s="49"/>
      <c r="EQ15" s="49"/>
      <c r="ER15" s="49"/>
      <c r="ES15" s="49"/>
      <c r="ET15" s="49"/>
      <c r="EU15" s="49"/>
      <c r="EV15" s="49"/>
      <c r="EW15" s="49"/>
      <c r="EX15" s="49"/>
      <c r="EY15" s="49"/>
      <c r="EZ15" s="49"/>
      <c r="FA15" s="49"/>
      <c r="FB15" s="49"/>
      <c r="FC15" s="49"/>
      <c r="FD15" s="49"/>
      <c r="FE15" s="49"/>
      <c r="FF15" s="49"/>
      <c r="FG15" s="49"/>
      <c r="FH15" s="49"/>
      <c r="FI15" s="49"/>
      <c r="FJ15" s="49"/>
      <c r="FK15" s="49"/>
      <c r="FL15" s="49"/>
      <c r="FM15" s="49"/>
      <c r="FN15" s="49"/>
      <c r="FO15" s="49"/>
      <c r="FP15" s="49"/>
      <c r="FQ15" s="49"/>
      <c r="FR15" s="49"/>
      <c r="FS15" s="49"/>
      <c r="FT15" s="49"/>
      <c r="FU15" s="49"/>
      <c r="FV15" s="49"/>
      <c r="FW15" s="49"/>
      <c r="FX15" s="49"/>
      <c r="FY15" s="49"/>
      <c r="FZ15" s="49"/>
      <c r="GA15" s="49"/>
      <c r="GB15" s="49"/>
      <c r="GC15" s="49"/>
      <c r="GD15" s="49"/>
      <c r="GE15" s="49"/>
      <c r="GF15" s="49"/>
      <c r="GG15" s="49"/>
      <c r="GH15" s="49"/>
      <c r="GI15" s="49"/>
      <c r="GJ15" s="49"/>
      <c r="GK15" s="49"/>
      <c r="GL15" s="49"/>
      <c r="GM15" s="49"/>
      <c r="GN15" s="49"/>
      <c r="GO15" s="49"/>
      <c r="GP15" s="49"/>
      <c r="GQ15" s="49"/>
      <c r="GR15" s="49"/>
      <c r="GS15" s="49"/>
      <c r="GT15" s="49"/>
      <c r="GU15" s="49"/>
      <c r="GV15" s="49"/>
      <c r="GW15" s="49"/>
      <c r="GX15" s="49"/>
      <c r="GY15" s="49"/>
      <c r="GZ15" s="49"/>
      <c r="HA15" s="49"/>
      <c r="HB15" s="49"/>
      <c r="HC15" s="49"/>
      <c r="HD15" s="49"/>
      <c r="HE15" s="49"/>
      <c r="HF15" s="49"/>
      <c r="HG15" s="49"/>
      <c r="HH15" s="49"/>
      <c r="HI15" s="49"/>
      <c r="HJ15" s="49"/>
      <c r="HK15" s="49"/>
      <c r="HL15" s="49"/>
      <c r="HM15" s="49"/>
      <c r="HN15" s="49"/>
      <c r="HO15" s="49"/>
      <c r="HP15" s="49"/>
      <c r="HQ15" s="49"/>
      <c r="HR15" s="49"/>
      <c r="HS15" s="49"/>
      <c r="HT15" s="49"/>
      <c r="HU15" s="49"/>
      <c r="HV15" s="49"/>
      <c r="HW15" s="49"/>
      <c r="HX15" s="49"/>
      <c r="HY15" s="49"/>
      <c r="HZ15" s="49"/>
    </row>
    <row r="16" spans="1:234" ht="17.5" x14ac:dyDescent="0.45">
      <c r="A16" s="269" t="s">
        <v>51</v>
      </c>
      <c r="B16" s="281">
        <v>3662</v>
      </c>
      <c r="C16" s="281"/>
      <c r="D16" s="281">
        <v>909</v>
      </c>
      <c r="E16" s="281">
        <f>(6500/7700)*6308</f>
        <v>5324.9350649350645</v>
      </c>
      <c r="F16" s="287">
        <f t="shared" si="3"/>
        <v>0</v>
      </c>
      <c r="G16" s="281">
        <f t="shared" si="0"/>
        <v>5324.9350649350645</v>
      </c>
      <c r="H16" s="287">
        <v>0</v>
      </c>
      <c r="I16" s="287">
        <v>0</v>
      </c>
      <c r="J16" s="287">
        <f>Table26[[#This Row],[
FRIANT-KERN CANAL -KAWEAH DELTA WCD   1/
CLASS 1]]+Table26[[#This Row],[
FRIANT-KERN CANAL -KAWEAH DELTA WCD   1/
CLASS 2]]</f>
        <v>0</v>
      </c>
      <c r="K16" s="63">
        <f t="shared" si="1"/>
        <v>9895.9350649350636</v>
      </c>
      <c r="L16" s="57"/>
      <c r="M16" s="63">
        <f t="shared" si="2"/>
        <v>0</v>
      </c>
      <c r="N16" s="48"/>
      <c r="O16" s="48"/>
      <c r="P16" s="48"/>
      <c r="Q16" s="48"/>
      <c r="R16" s="48"/>
      <c r="S16" s="48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  <c r="AT16" s="49"/>
      <c r="AU16" s="49"/>
      <c r="AV16" s="49"/>
      <c r="AW16" s="49"/>
      <c r="AX16" s="49"/>
      <c r="AY16" s="49"/>
      <c r="AZ16" s="49"/>
      <c r="BA16" s="49"/>
      <c r="BB16" s="49"/>
      <c r="BC16" s="49"/>
      <c r="BD16" s="49"/>
      <c r="BE16" s="49"/>
      <c r="BF16" s="49"/>
      <c r="BG16" s="49"/>
      <c r="BH16" s="49"/>
      <c r="BI16" s="49"/>
      <c r="BJ16" s="49"/>
      <c r="BK16" s="49"/>
      <c r="BL16" s="49"/>
      <c r="BM16" s="49"/>
      <c r="BN16" s="49"/>
      <c r="BO16" s="49"/>
      <c r="BP16" s="49"/>
      <c r="BQ16" s="49"/>
      <c r="BR16" s="49"/>
      <c r="BS16" s="49"/>
      <c r="BT16" s="49"/>
      <c r="BU16" s="49"/>
      <c r="BV16" s="49"/>
      <c r="BW16" s="49"/>
      <c r="BX16" s="49"/>
      <c r="BY16" s="49"/>
      <c r="BZ16" s="49"/>
      <c r="CA16" s="49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49"/>
      <c r="CS16" s="49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49"/>
      <c r="DK16" s="4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49"/>
      <c r="DW16" s="49"/>
      <c r="DX16" s="49"/>
      <c r="DY16" s="49"/>
      <c r="DZ16" s="49"/>
      <c r="EA16" s="49"/>
      <c r="EB16" s="49"/>
      <c r="EC16" s="49"/>
      <c r="ED16" s="49"/>
      <c r="EE16" s="49"/>
      <c r="EF16" s="49"/>
      <c r="EG16" s="49"/>
      <c r="EH16" s="49"/>
      <c r="EI16" s="49"/>
      <c r="EJ16" s="49"/>
      <c r="EK16" s="49"/>
      <c r="EL16" s="49"/>
      <c r="EM16" s="49"/>
      <c r="EN16" s="49"/>
      <c r="EO16" s="49"/>
      <c r="EP16" s="49"/>
      <c r="EQ16" s="49"/>
      <c r="ER16" s="49"/>
      <c r="ES16" s="49"/>
      <c r="ET16" s="49"/>
      <c r="EU16" s="49"/>
      <c r="EV16" s="49"/>
      <c r="EW16" s="49"/>
      <c r="EX16" s="49"/>
      <c r="EY16" s="49"/>
      <c r="EZ16" s="49"/>
      <c r="FA16" s="49"/>
      <c r="FB16" s="49"/>
      <c r="FC16" s="49"/>
      <c r="FD16" s="49"/>
      <c r="FE16" s="49"/>
      <c r="FF16" s="49"/>
      <c r="FG16" s="49"/>
      <c r="FH16" s="49"/>
      <c r="FI16" s="49"/>
      <c r="FJ16" s="49"/>
      <c r="FK16" s="49"/>
      <c r="FL16" s="49"/>
      <c r="FM16" s="49"/>
      <c r="FN16" s="49"/>
      <c r="FO16" s="49"/>
      <c r="FP16" s="49"/>
      <c r="FQ16" s="49"/>
      <c r="FR16" s="49"/>
      <c r="FS16" s="49"/>
      <c r="FT16" s="49"/>
      <c r="FU16" s="49"/>
      <c r="FV16" s="49"/>
      <c r="FW16" s="49"/>
      <c r="FX16" s="49"/>
      <c r="FY16" s="49"/>
      <c r="FZ16" s="49"/>
      <c r="GA16" s="49"/>
      <c r="GB16" s="49"/>
      <c r="GC16" s="49"/>
      <c r="GD16" s="49"/>
      <c r="GE16" s="49"/>
      <c r="GF16" s="49"/>
      <c r="GG16" s="49"/>
      <c r="GH16" s="49"/>
      <c r="GI16" s="49"/>
      <c r="GJ16" s="49"/>
      <c r="GK16" s="49"/>
      <c r="GL16" s="49"/>
      <c r="GM16" s="49"/>
      <c r="GN16" s="49"/>
      <c r="GO16" s="49"/>
      <c r="GP16" s="49"/>
      <c r="GQ16" s="49"/>
      <c r="GR16" s="49"/>
      <c r="GS16" s="49"/>
      <c r="GT16" s="49"/>
      <c r="GU16" s="49"/>
      <c r="GV16" s="49"/>
      <c r="GW16" s="49"/>
      <c r="GX16" s="49"/>
      <c r="GY16" s="49"/>
      <c r="GZ16" s="49"/>
      <c r="HA16" s="49"/>
      <c r="HB16" s="49"/>
      <c r="HC16" s="49"/>
      <c r="HD16" s="49"/>
      <c r="HE16" s="49"/>
      <c r="HF16" s="49"/>
      <c r="HG16" s="49"/>
      <c r="HH16" s="49"/>
      <c r="HI16" s="49"/>
      <c r="HJ16" s="49"/>
      <c r="HK16" s="49"/>
      <c r="HL16" s="49"/>
      <c r="HM16" s="49"/>
      <c r="HN16" s="49"/>
      <c r="HO16" s="49"/>
      <c r="HP16" s="49"/>
      <c r="HQ16" s="49"/>
      <c r="HR16" s="49"/>
      <c r="HS16" s="49"/>
      <c r="HT16" s="49"/>
      <c r="HU16" s="49"/>
      <c r="HV16" s="49"/>
      <c r="HW16" s="49"/>
      <c r="HX16" s="49"/>
      <c r="HY16" s="49"/>
      <c r="HZ16" s="49"/>
    </row>
    <row r="17" spans="1:234" ht="17.5" x14ac:dyDescent="0.45">
      <c r="A17" s="269" t="s">
        <v>52</v>
      </c>
      <c r="B17" s="281">
        <v>2382</v>
      </c>
      <c r="C17" s="281"/>
      <c r="D17" s="281">
        <v>1199</v>
      </c>
      <c r="E17" s="281">
        <f>(6500/7700)*7205</f>
        <v>6082.1428571428569</v>
      </c>
      <c r="F17" s="287">
        <f t="shared" si="3"/>
        <v>0</v>
      </c>
      <c r="G17" s="281">
        <f t="shared" si="0"/>
        <v>6082.1428571428569</v>
      </c>
      <c r="H17" s="287">
        <v>0</v>
      </c>
      <c r="I17" s="287">
        <v>0</v>
      </c>
      <c r="J17" s="287">
        <f>Table26[[#This Row],[
FRIANT-KERN CANAL -KAWEAH DELTA WCD   1/
CLASS 1]]+Table26[[#This Row],[
FRIANT-KERN CANAL -KAWEAH DELTA WCD   1/
CLASS 2]]</f>
        <v>0</v>
      </c>
      <c r="K17" s="63">
        <f t="shared" si="1"/>
        <v>9663.1428571428569</v>
      </c>
      <c r="L17" s="57"/>
      <c r="M17" s="63">
        <f t="shared" si="2"/>
        <v>0</v>
      </c>
      <c r="N17" s="48"/>
      <c r="O17" s="48"/>
      <c r="P17" s="48"/>
      <c r="Q17" s="48"/>
      <c r="R17" s="48"/>
      <c r="S17" s="48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  <c r="AT17" s="49"/>
      <c r="AU17" s="49"/>
      <c r="AV17" s="49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9"/>
      <c r="BH17" s="49"/>
      <c r="BI17" s="49"/>
      <c r="BJ17" s="49"/>
      <c r="BK17" s="49"/>
      <c r="BL17" s="49"/>
      <c r="BM17" s="49"/>
      <c r="BN17" s="49"/>
      <c r="BO17" s="49"/>
      <c r="BP17" s="49"/>
      <c r="BQ17" s="49"/>
      <c r="BR17" s="49"/>
      <c r="BS17" s="49"/>
      <c r="BT17" s="49"/>
      <c r="BU17" s="49"/>
      <c r="BV17" s="49"/>
      <c r="BW17" s="49"/>
      <c r="BX17" s="49"/>
      <c r="BY17" s="49"/>
      <c r="BZ17" s="49"/>
      <c r="CA17" s="49"/>
      <c r="CB17" s="49"/>
      <c r="CC17" s="49"/>
      <c r="CD17" s="49"/>
      <c r="CE17" s="49"/>
      <c r="CF17" s="49"/>
      <c r="CG17" s="49"/>
      <c r="CH17" s="49"/>
      <c r="CI17" s="49"/>
      <c r="CJ17" s="49"/>
      <c r="CK17" s="49"/>
      <c r="CL17" s="49"/>
      <c r="CM17" s="49"/>
      <c r="CN17" s="49"/>
      <c r="CO17" s="49"/>
      <c r="CP17" s="49"/>
      <c r="CQ17" s="49"/>
      <c r="CR17" s="49"/>
      <c r="CS17" s="49"/>
      <c r="CT17" s="49"/>
      <c r="CU17" s="49"/>
      <c r="CV17" s="49"/>
      <c r="CW17" s="49"/>
      <c r="CX17" s="49"/>
      <c r="CY17" s="49"/>
      <c r="CZ17" s="49"/>
      <c r="DA17" s="49"/>
      <c r="DB17" s="49"/>
      <c r="DC17" s="49"/>
      <c r="DD17" s="49"/>
      <c r="DE17" s="49"/>
      <c r="DF17" s="49"/>
      <c r="DG17" s="49"/>
      <c r="DH17" s="49"/>
      <c r="DI17" s="49"/>
      <c r="DJ17" s="49"/>
      <c r="DK17" s="49"/>
      <c r="DL17" s="49"/>
      <c r="DM17" s="49"/>
      <c r="DN17" s="49"/>
      <c r="DO17" s="49"/>
      <c r="DP17" s="49"/>
      <c r="DQ17" s="49"/>
      <c r="DR17" s="49"/>
      <c r="DS17" s="49"/>
      <c r="DT17" s="49"/>
      <c r="DU17" s="49"/>
      <c r="DV17" s="49"/>
      <c r="DW17" s="49"/>
      <c r="DX17" s="49"/>
      <c r="DY17" s="49"/>
      <c r="DZ17" s="49"/>
      <c r="EA17" s="49"/>
      <c r="EB17" s="49"/>
      <c r="EC17" s="49"/>
      <c r="ED17" s="49"/>
      <c r="EE17" s="49"/>
      <c r="EF17" s="49"/>
      <c r="EG17" s="49"/>
      <c r="EH17" s="49"/>
      <c r="EI17" s="49"/>
      <c r="EJ17" s="49"/>
      <c r="EK17" s="49"/>
      <c r="EL17" s="49"/>
      <c r="EM17" s="49"/>
      <c r="EN17" s="49"/>
      <c r="EO17" s="49"/>
      <c r="EP17" s="49"/>
      <c r="EQ17" s="49"/>
      <c r="ER17" s="49"/>
      <c r="ES17" s="49"/>
      <c r="ET17" s="49"/>
      <c r="EU17" s="49"/>
      <c r="EV17" s="49"/>
      <c r="EW17" s="49"/>
      <c r="EX17" s="49"/>
      <c r="EY17" s="49"/>
      <c r="EZ17" s="49"/>
      <c r="FA17" s="49"/>
      <c r="FB17" s="49"/>
      <c r="FC17" s="49"/>
      <c r="FD17" s="49"/>
      <c r="FE17" s="49"/>
      <c r="FF17" s="49"/>
      <c r="FG17" s="49"/>
      <c r="FH17" s="49"/>
      <c r="FI17" s="49"/>
      <c r="FJ17" s="49"/>
      <c r="FK17" s="49"/>
      <c r="FL17" s="49"/>
      <c r="FM17" s="49"/>
      <c r="FN17" s="49"/>
      <c r="FO17" s="49"/>
      <c r="FP17" s="49"/>
      <c r="FQ17" s="49"/>
      <c r="FR17" s="49"/>
      <c r="FS17" s="49"/>
      <c r="FT17" s="49"/>
      <c r="FU17" s="49"/>
      <c r="FV17" s="49"/>
      <c r="FW17" s="49"/>
      <c r="FX17" s="49"/>
      <c r="FY17" s="49"/>
      <c r="FZ17" s="49"/>
      <c r="GA17" s="49"/>
      <c r="GB17" s="49"/>
      <c r="GC17" s="49"/>
      <c r="GD17" s="49"/>
      <c r="GE17" s="49"/>
      <c r="GF17" s="49"/>
      <c r="GG17" s="49"/>
      <c r="GH17" s="49"/>
      <c r="GI17" s="49"/>
      <c r="GJ17" s="49"/>
      <c r="GK17" s="49"/>
      <c r="GL17" s="49"/>
      <c r="GM17" s="49"/>
      <c r="GN17" s="49"/>
      <c r="GO17" s="49"/>
      <c r="GP17" s="49"/>
      <c r="GQ17" s="49"/>
      <c r="GR17" s="49"/>
      <c r="GS17" s="49"/>
      <c r="GT17" s="49"/>
      <c r="GU17" s="49"/>
      <c r="GV17" s="49"/>
      <c r="GW17" s="49"/>
      <c r="GX17" s="49"/>
      <c r="GY17" s="49"/>
      <c r="GZ17" s="49"/>
      <c r="HA17" s="49"/>
      <c r="HB17" s="49"/>
      <c r="HC17" s="49"/>
      <c r="HD17" s="49"/>
      <c r="HE17" s="49"/>
      <c r="HF17" s="49"/>
      <c r="HG17" s="49"/>
      <c r="HH17" s="49"/>
      <c r="HI17" s="49"/>
      <c r="HJ17" s="49"/>
      <c r="HK17" s="49"/>
      <c r="HL17" s="49"/>
      <c r="HM17" s="49"/>
      <c r="HN17" s="49"/>
      <c r="HO17" s="49"/>
      <c r="HP17" s="49"/>
      <c r="HQ17" s="49"/>
      <c r="HR17" s="49"/>
      <c r="HS17" s="49"/>
      <c r="HT17" s="49"/>
      <c r="HU17" s="49"/>
      <c r="HV17" s="49"/>
      <c r="HW17" s="49"/>
      <c r="HX17" s="49"/>
      <c r="HY17" s="49"/>
      <c r="HZ17" s="49"/>
    </row>
    <row r="18" spans="1:234" ht="17.5" x14ac:dyDescent="0.45">
      <c r="A18" s="269" t="s">
        <v>53</v>
      </c>
      <c r="B18" s="281">
        <v>4178</v>
      </c>
      <c r="C18" s="281"/>
      <c r="D18" s="281">
        <v>785</v>
      </c>
      <c r="E18" s="281">
        <f>(6500/7700)*7360</f>
        <v>6212.9870129870123</v>
      </c>
      <c r="F18" s="287">
        <f t="shared" si="3"/>
        <v>0</v>
      </c>
      <c r="G18" s="281">
        <f t="shared" si="0"/>
        <v>6212.9870129870123</v>
      </c>
      <c r="H18" s="287">
        <v>0</v>
      </c>
      <c r="I18" s="287">
        <v>0</v>
      </c>
      <c r="J18" s="287">
        <f>Table26[[#This Row],[
FRIANT-KERN CANAL -KAWEAH DELTA WCD   1/
CLASS 1]]+Table26[[#This Row],[
FRIANT-KERN CANAL -KAWEAH DELTA WCD   1/
CLASS 2]]</f>
        <v>0</v>
      </c>
      <c r="K18" s="63">
        <f t="shared" si="1"/>
        <v>11175.987012987012</v>
      </c>
      <c r="L18" s="57"/>
      <c r="M18" s="63">
        <f t="shared" si="2"/>
        <v>0</v>
      </c>
      <c r="N18" s="48"/>
      <c r="O18" s="48"/>
      <c r="P18" s="48"/>
      <c r="Q18" s="48"/>
      <c r="R18" s="48"/>
      <c r="S18" s="48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  <c r="AT18" s="49"/>
      <c r="AU18" s="49"/>
      <c r="AV18" s="49"/>
      <c r="AW18" s="49"/>
      <c r="AX18" s="49"/>
      <c r="AY18" s="49"/>
      <c r="AZ18" s="49"/>
      <c r="BA18" s="49"/>
      <c r="BB18" s="49"/>
      <c r="BC18" s="49"/>
      <c r="BD18" s="49"/>
      <c r="BE18" s="49"/>
      <c r="BF18" s="49"/>
      <c r="BG18" s="49"/>
      <c r="BH18" s="49"/>
      <c r="BI18" s="49"/>
      <c r="BJ18" s="49"/>
      <c r="BK18" s="49"/>
      <c r="BL18" s="49"/>
      <c r="BM18" s="49"/>
      <c r="BN18" s="49"/>
      <c r="BO18" s="49"/>
      <c r="BP18" s="49"/>
      <c r="BQ18" s="49"/>
      <c r="BR18" s="49"/>
      <c r="BS18" s="49"/>
      <c r="BT18" s="49"/>
      <c r="BU18" s="49"/>
      <c r="BV18" s="49"/>
      <c r="BW18" s="49"/>
      <c r="BX18" s="49"/>
      <c r="BY18" s="49"/>
      <c r="BZ18" s="49"/>
      <c r="CA18" s="49"/>
      <c r="CB18" s="49"/>
      <c r="CC18" s="49"/>
      <c r="CD18" s="49"/>
      <c r="CE18" s="49"/>
      <c r="CF18" s="49"/>
      <c r="CG18" s="49"/>
      <c r="CH18" s="49"/>
      <c r="CI18" s="49"/>
      <c r="CJ18" s="49"/>
      <c r="CK18" s="49"/>
      <c r="CL18" s="49"/>
      <c r="CM18" s="49"/>
      <c r="CN18" s="49"/>
      <c r="CO18" s="49"/>
      <c r="CP18" s="49"/>
      <c r="CQ18" s="49"/>
      <c r="CR18" s="49"/>
      <c r="CS18" s="49"/>
      <c r="CT18" s="49"/>
      <c r="CU18" s="49"/>
      <c r="CV18" s="49"/>
      <c r="CW18" s="49"/>
      <c r="CX18" s="49"/>
      <c r="CY18" s="49"/>
      <c r="CZ18" s="49"/>
      <c r="DA18" s="49"/>
      <c r="DB18" s="49"/>
      <c r="DC18" s="49"/>
      <c r="DD18" s="49"/>
      <c r="DE18" s="49"/>
      <c r="DF18" s="49"/>
      <c r="DG18" s="49"/>
      <c r="DH18" s="49"/>
      <c r="DI18" s="49"/>
      <c r="DJ18" s="49"/>
      <c r="DK18" s="49"/>
      <c r="DL18" s="49"/>
      <c r="DM18" s="49"/>
      <c r="DN18" s="49"/>
      <c r="DO18" s="49"/>
      <c r="DP18" s="49"/>
      <c r="DQ18" s="49"/>
      <c r="DR18" s="49"/>
      <c r="DS18" s="49"/>
      <c r="DT18" s="49"/>
      <c r="DU18" s="49"/>
      <c r="DV18" s="49"/>
      <c r="DW18" s="49"/>
      <c r="DX18" s="49"/>
      <c r="DY18" s="49"/>
      <c r="DZ18" s="49"/>
      <c r="EA18" s="49"/>
      <c r="EB18" s="49"/>
      <c r="EC18" s="49"/>
      <c r="ED18" s="49"/>
      <c r="EE18" s="49"/>
      <c r="EF18" s="49"/>
      <c r="EG18" s="49"/>
      <c r="EH18" s="49"/>
      <c r="EI18" s="49"/>
      <c r="EJ18" s="49"/>
      <c r="EK18" s="49"/>
      <c r="EL18" s="49"/>
      <c r="EM18" s="49"/>
      <c r="EN18" s="49"/>
      <c r="EO18" s="49"/>
      <c r="EP18" s="49"/>
      <c r="EQ18" s="49"/>
      <c r="ER18" s="49"/>
      <c r="ES18" s="49"/>
      <c r="ET18" s="49"/>
      <c r="EU18" s="49"/>
      <c r="EV18" s="49"/>
      <c r="EW18" s="49"/>
      <c r="EX18" s="49"/>
      <c r="EY18" s="49"/>
      <c r="EZ18" s="49"/>
      <c r="FA18" s="49"/>
      <c r="FB18" s="49"/>
      <c r="FC18" s="49"/>
      <c r="FD18" s="49"/>
      <c r="FE18" s="49"/>
      <c r="FF18" s="49"/>
      <c r="FG18" s="49"/>
      <c r="FH18" s="49"/>
      <c r="FI18" s="49"/>
      <c r="FJ18" s="49"/>
      <c r="FK18" s="49"/>
      <c r="FL18" s="49"/>
      <c r="FM18" s="49"/>
      <c r="FN18" s="49"/>
      <c r="FO18" s="49"/>
      <c r="FP18" s="49"/>
      <c r="FQ18" s="49"/>
      <c r="FR18" s="49"/>
      <c r="FS18" s="49"/>
      <c r="FT18" s="49"/>
      <c r="FU18" s="49"/>
      <c r="FV18" s="49"/>
      <c r="FW18" s="49"/>
      <c r="FX18" s="49"/>
      <c r="FY18" s="49"/>
      <c r="FZ18" s="49"/>
      <c r="GA18" s="49"/>
      <c r="GB18" s="49"/>
      <c r="GC18" s="49"/>
      <c r="GD18" s="49"/>
      <c r="GE18" s="49"/>
      <c r="GF18" s="49"/>
      <c r="GG18" s="49"/>
      <c r="GH18" s="49"/>
      <c r="GI18" s="49"/>
      <c r="GJ18" s="49"/>
      <c r="GK18" s="49"/>
      <c r="GL18" s="49"/>
      <c r="GM18" s="49"/>
      <c r="GN18" s="49"/>
      <c r="GO18" s="49"/>
      <c r="GP18" s="49"/>
      <c r="GQ18" s="49"/>
      <c r="GR18" s="49"/>
      <c r="GS18" s="49"/>
      <c r="GT18" s="49"/>
      <c r="GU18" s="49"/>
      <c r="GV18" s="49"/>
      <c r="GW18" s="49"/>
      <c r="GX18" s="49"/>
      <c r="GY18" s="49"/>
      <c r="GZ18" s="49"/>
      <c r="HA18" s="49"/>
      <c r="HB18" s="49"/>
      <c r="HC18" s="49"/>
      <c r="HD18" s="49"/>
      <c r="HE18" s="49"/>
      <c r="HF18" s="49"/>
      <c r="HG18" s="49"/>
      <c r="HH18" s="49"/>
      <c r="HI18" s="49"/>
      <c r="HJ18" s="49"/>
      <c r="HK18" s="49"/>
      <c r="HL18" s="49"/>
      <c r="HM18" s="49"/>
      <c r="HN18" s="49"/>
      <c r="HO18" s="49"/>
      <c r="HP18" s="49"/>
      <c r="HQ18" s="49"/>
      <c r="HR18" s="49"/>
      <c r="HS18" s="49"/>
      <c r="HT18" s="49"/>
      <c r="HU18" s="49"/>
      <c r="HV18" s="49"/>
      <c r="HW18" s="49"/>
      <c r="HX18" s="49"/>
      <c r="HY18" s="49"/>
      <c r="HZ18" s="49"/>
    </row>
    <row r="19" spans="1:234" ht="17.5" x14ac:dyDescent="0.45">
      <c r="A19" s="269" t="s">
        <v>54</v>
      </c>
      <c r="B19" s="281">
        <v>4077</v>
      </c>
      <c r="C19" s="281"/>
      <c r="D19" s="281">
        <v>1266</v>
      </c>
      <c r="E19" s="281">
        <f>(6500/7700)*6362</f>
        <v>5370.5194805194806</v>
      </c>
      <c r="F19" s="281">
        <f>(500/7900)*7110</f>
        <v>450.00000000000006</v>
      </c>
      <c r="G19" s="281">
        <f t="shared" si="0"/>
        <v>5820.5194805194806</v>
      </c>
      <c r="H19" s="287">
        <v>0</v>
      </c>
      <c r="I19" s="287">
        <v>0</v>
      </c>
      <c r="J19" s="287">
        <f>Table26[[#This Row],[
FRIANT-KERN CANAL -KAWEAH DELTA WCD   1/
CLASS 1]]+Table26[[#This Row],[
FRIANT-KERN CANAL -KAWEAH DELTA WCD   1/
CLASS 2]]</f>
        <v>0</v>
      </c>
      <c r="K19" s="63">
        <f t="shared" si="1"/>
        <v>10713.519480519481</v>
      </c>
      <c r="L19" s="57"/>
      <c r="M19" s="63">
        <f t="shared" si="2"/>
        <v>450.00000000000006</v>
      </c>
      <c r="N19" s="48"/>
      <c r="O19" s="48"/>
      <c r="P19" s="48"/>
      <c r="Q19" s="48"/>
      <c r="R19" s="48"/>
      <c r="S19" s="48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49"/>
      <c r="HI19" s="49"/>
      <c r="HJ19" s="49"/>
      <c r="HK19" s="49"/>
      <c r="HL19" s="49"/>
      <c r="HM19" s="49"/>
      <c r="HN19" s="49"/>
      <c r="HO19" s="49"/>
      <c r="HP19" s="49"/>
      <c r="HQ19" s="49"/>
      <c r="HR19" s="49"/>
      <c r="HS19" s="49"/>
      <c r="HT19" s="49"/>
      <c r="HU19" s="49"/>
      <c r="HV19" s="49"/>
      <c r="HW19" s="49"/>
      <c r="HX19" s="49"/>
      <c r="HY19" s="49"/>
      <c r="HZ19" s="49"/>
    </row>
    <row r="20" spans="1:234" ht="17.5" x14ac:dyDescent="0.45">
      <c r="A20" s="269" t="s">
        <v>55</v>
      </c>
      <c r="B20" s="281">
        <v>3168</v>
      </c>
      <c r="C20" s="281"/>
      <c r="D20" s="281">
        <v>901</v>
      </c>
      <c r="E20" s="281">
        <f>(6500/7700)*7158</f>
        <v>6042.4675324675318</v>
      </c>
      <c r="F20" s="287">
        <f>(500/7900)*0</f>
        <v>0</v>
      </c>
      <c r="G20" s="281">
        <f t="shared" si="0"/>
        <v>6042.4675324675318</v>
      </c>
      <c r="H20" s="287">
        <v>0</v>
      </c>
      <c r="I20" s="287">
        <v>0</v>
      </c>
      <c r="J20" s="287">
        <f>Table26[[#This Row],[
FRIANT-KERN CANAL -KAWEAH DELTA WCD   1/
CLASS 1]]+Table26[[#This Row],[
FRIANT-KERN CANAL -KAWEAH DELTA WCD   1/
CLASS 2]]</f>
        <v>0</v>
      </c>
      <c r="K20" s="63">
        <f t="shared" si="1"/>
        <v>10111.467532467532</v>
      </c>
      <c r="L20" s="57"/>
      <c r="M20" s="63">
        <f t="shared" si="2"/>
        <v>0</v>
      </c>
      <c r="N20" s="48"/>
      <c r="O20" s="48"/>
      <c r="P20" s="48"/>
      <c r="Q20" s="48"/>
      <c r="R20" s="48"/>
      <c r="S20" s="48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  <c r="EC20" s="49"/>
      <c r="ED20" s="49"/>
      <c r="EE20" s="49"/>
      <c r="EF20" s="49"/>
      <c r="EG20" s="49"/>
      <c r="EH20" s="49"/>
      <c r="EI20" s="49"/>
      <c r="EJ20" s="49"/>
      <c r="EK20" s="49"/>
      <c r="EL20" s="49"/>
      <c r="EM20" s="49"/>
      <c r="EN20" s="49"/>
      <c r="EO20" s="49"/>
      <c r="EP20" s="49"/>
      <c r="EQ20" s="49"/>
      <c r="ER20" s="49"/>
      <c r="ES20" s="49"/>
      <c r="ET20" s="49"/>
      <c r="EU20" s="49"/>
      <c r="EV20" s="49"/>
      <c r="EW20" s="49"/>
      <c r="EX20" s="49"/>
      <c r="EY20" s="49"/>
      <c r="EZ20" s="49"/>
      <c r="FA20" s="49"/>
      <c r="FB20" s="49"/>
      <c r="FC20" s="49"/>
      <c r="FD20" s="49"/>
      <c r="FE20" s="49"/>
      <c r="FF20" s="49"/>
      <c r="FG20" s="49"/>
      <c r="FH20" s="49"/>
      <c r="FI20" s="49"/>
      <c r="FJ20" s="49"/>
      <c r="FK20" s="49"/>
      <c r="FL20" s="49"/>
      <c r="FM20" s="49"/>
      <c r="FN20" s="49"/>
      <c r="FO20" s="49"/>
      <c r="FP20" s="49"/>
      <c r="FQ20" s="49"/>
      <c r="FR20" s="49"/>
      <c r="FS20" s="49"/>
      <c r="FT20" s="49"/>
      <c r="FU20" s="49"/>
      <c r="FV20" s="49"/>
      <c r="FW20" s="49"/>
      <c r="FX20" s="49"/>
      <c r="FY20" s="49"/>
      <c r="FZ20" s="49"/>
      <c r="GA20" s="49"/>
      <c r="GB20" s="49"/>
      <c r="GC20" s="49"/>
      <c r="GD20" s="49"/>
      <c r="GE20" s="49"/>
      <c r="GF20" s="49"/>
      <c r="GG20" s="49"/>
      <c r="GH20" s="49"/>
      <c r="GI20" s="49"/>
      <c r="GJ20" s="49"/>
      <c r="GK20" s="49"/>
      <c r="GL20" s="49"/>
      <c r="GM20" s="49"/>
      <c r="GN20" s="49"/>
      <c r="GO20" s="49"/>
      <c r="GP20" s="49"/>
      <c r="GQ20" s="49"/>
      <c r="GR20" s="49"/>
      <c r="GS20" s="49"/>
      <c r="GT20" s="49"/>
      <c r="GU20" s="49"/>
      <c r="GV20" s="49"/>
      <c r="GW20" s="49"/>
      <c r="GX20" s="49"/>
      <c r="GY20" s="49"/>
      <c r="GZ20" s="49"/>
      <c r="HA20" s="49"/>
      <c r="HB20" s="49"/>
      <c r="HC20" s="49"/>
      <c r="HD20" s="49"/>
      <c r="HE20" s="49"/>
      <c r="HF20" s="49"/>
      <c r="HG20" s="49"/>
      <c r="HH20" s="49"/>
      <c r="HI20" s="49"/>
      <c r="HJ20" s="49"/>
      <c r="HK20" s="49"/>
      <c r="HL20" s="49"/>
      <c r="HM20" s="49"/>
      <c r="HN20" s="49"/>
      <c r="HO20" s="49"/>
      <c r="HP20" s="49"/>
      <c r="HQ20" s="49"/>
      <c r="HR20" s="49"/>
      <c r="HS20" s="49"/>
      <c r="HT20" s="49"/>
      <c r="HU20" s="49"/>
      <c r="HV20" s="49"/>
      <c r="HW20" s="49"/>
      <c r="HX20" s="49"/>
      <c r="HY20" s="49"/>
      <c r="HZ20" s="49"/>
    </row>
    <row r="21" spans="1:234" ht="17.5" x14ac:dyDescent="0.45">
      <c r="A21" s="269" t="s">
        <v>56</v>
      </c>
      <c r="B21" s="281">
        <v>1685</v>
      </c>
      <c r="C21" s="281"/>
      <c r="D21" s="281">
        <v>836</v>
      </c>
      <c r="E21" s="281">
        <f>(6500/7700)*4999</f>
        <v>4219.9350649350645</v>
      </c>
      <c r="F21" s="281">
        <f>(500/7900)*6935</f>
        <v>438.92405063291142</v>
      </c>
      <c r="G21" s="281">
        <f t="shared" si="0"/>
        <v>4658.859115567976</v>
      </c>
      <c r="H21" s="287">
        <v>0</v>
      </c>
      <c r="I21" s="287">
        <v>0</v>
      </c>
      <c r="J21" s="287">
        <f>Table26[[#This Row],[
FRIANT-KERN CANAL -KAWEAH DELTA WCD   1/
CLASS 1]]+Table26[[#This Row],[
FRIANT-KERN CANAL -KAWEAH DELTA WCD   1/
CLASS 2]]</f>
        <v>0</v>
      </c>
      <c r="K21" s="63">
        <f t="shared" si="1"/>
        <v>6740.9350649350645</v>
      </c>
      <c r="L21" s="57"/>
      <c r="M21" s="63">
        <f t="shared" si="2"/>
        <v>438.92405063291142</v>
      </c>
      <c r="N21" s="48"/>
      <c r="O21" s="48"/>
      <c r="P21" s="48"/>
      <c r="Q21" s="48"/>
      <c r="R21" s="48"/>
      <c r="S21" s="48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  <c r="AT21" s="49"/>
      <c r="AU21" s="49"/>
      <c r="AV21" s="49"/>
      <c r="AW21" s="49"/>
      <c r="AX21" s="49"/>
      <c r="AY21" s="49"/>
      <c r="AZ21" s="49"/>
      <c r="BA21" s="49"/>
      <c r="BB21" s="49"/>
      <c r="BC21" s="49"/>
      <c r="BD21" s="49"/>
      <c r="BE21" s="49"/>
      <c r="BF21" s="49"/>
      <c r="BG21" s="49"/>
      <c r="BH21" s="49"/>
      <c r="BI21" s="49"/>
      <c r="BJ21" s="49"/>
      <c r="BK21" s="49"/>
      <c r="BL21" s="49"/>
      <c r="BM21" s="49"/>
      <c r="BN21" s="49"/>
      <c r="BO21" s="49"/>
      <c r="BP21" s="49"/>
      <c r="BQ21" s="49"/>
      <c r="BR21" s="49"/>
      <c r="BS21" s="49"/>
      <c r="BT21" s="49"/>
      <c r="BU21" s="49"/>
      <c r="BV21" s="49"/>
      <c r="BW21" s="49"/>
      <c r="BX21" s="49"/>
      <c r="BY21" s="49"/>
      <c r="BZ21" s="49"/>
      <c r="CA21" s="49"/>
      <c r="CB21" s="49"/>
      <c r="CC21" s="49"/>
      <c r="CD21" s="49"/>
      <c r="CE21" s="49"/>
      <c r="CF21" s="49"/>
      <c r="CG21" s="49"/>
      <c r="CH21" s="49"/>
      <c r="CI21" s="49"/>
      <c r="CJ21" s="49"/>
      <c r="CK21" s="49"/>
      <c r="CL21" s="49"/>
      <c r="CM21" s="49"/>
      <c r="CN21" s="49"/>
      <c r="CO21" s="49"/>
      <c r="CP21" s="49"/>
      <c r="CQ21" s="49"/>
      <c r="CR21" s="49"/>
      <c r="CS21" s="49"/>
      <c r="CT21" s="49"/>
      <c r="CU21" s="49"/>
      <c r="CV21" s="49"/>
      <c r="CW21" s="49"/>
      <c r="CX21" s="49"/>
      <c r="CY21" s="49"/>
      <c r="CZ21" s="49"/>
      <c r="DA21" s="49"/>
      <c r="DB21" s="49"/>
      <c r="DC21" s="49"/>
      <c r="DD21" s="49"/>
      <c r="DE21" s="49"/>
      <c r="DF21" s="49"/>
      <c r="DG21" s="49"/>
      <c r="DH21" s="49"/>
      <c r="DI21" s="49"/>
      <c r="DJ21" s="49"/>
      <c r="DK21" s="49"/>
      <c r="DL21" s="49"/>
      <c r="DM21" s="49"/>
      <c r="DN21" s="49"/>
      <c r="DO21" s="49"/>
      <c r="DP21" s="49"/>
      <c r="DQ21" s="49"/>
      <c r="DR21" s="49"/>
      <c r="DS21" s="49"/>
      <c r="DT21" s="49"/>
      <c r="DU21" s="49"/>
      <c r="DV21" s="49"/>
      <c r="DW21" s="49"/>
      <c r="DX21" s="49"/>
      <c r="DY21" s="49"/>
      <c r="DZ21" s="49"/>
      <c r="EA21" s="49"/>
      <c r="EB21" s="49"/>
      <c r="EC21" s="49"/>
      <c r="ED21" s="49"/>
      <c r="EE21" s="49"/>
      <c r="EF21" s="49"/>
      <c r="EG21" s="49"/>
      <c r="EH21" s="49"/>
      <c r="EI21" s="49"/>
      <c r="EJ21" s="49"/>
      <c r="EK21" s="49"/>
      <c r="EL21" s="49"/>
      <c r="EM21" s="49"/>
      <c r="EN21" s="49"/>
      <c r="EO21" s="49"/>
      <c r="EP21" s="49"/>
      <c r="EQ21" s="49"/>
      <c r="ER21" s="49"/>
      <c r="ES21" s="49"/>
      <c r="ET21" s="49"/>
      <c r="EU21" s="49"/>
      <c r="EV21" s="49"/>
      <c r="EW21" s="49"/>
      <c r="EX21" s="49"/>
      <c r="EY21" s="49"/>
      <c r="EZ21" s="49"/>
      <c r="FA21" s="49"/>
      <c r="FB21" s="49"/>
      <c r="FC21" s="49"/>
      <c r="FD21" s="49"/>
      <c r="FE21" s="49"/>
      <c r="FF21" s="49"/>
      <c r="FG21" s="49"/>
      <c r="FH21" s="49"/>
      <c r="FI21" s="49"/>
      <c r="FJ21" s="49"/>
      <c r="FK21" s="49"/>
      <c r="FL21" s="49"/>
      <c r="FM21" s="49"/>
      <c r="FN21" s="49"/>
      <c r="FO21" s="49"/>
      <c r="FP21" s="49"/>
      <c r="FQ21" s="49"/>
      <c r="FR21" s="49"/>
      <c r="FS21" s="49"/>
      <c r="FT21" s="49"/>
      <c r="FU21" s="49"/>
      <c r="FV21" s="49"/>
      <c r="FW21" s="49"/>
      <c r="FX21" s="49"/>
      <c r="FY21" s="49"/>
      <c r="FZ21" s="49"/>
      <c r="GA21" s="49"/>
      <c r="GB21" s="49"/>
      <c r="GC21" s="49"/>
      <c r="GD21" s="49"/>
      <c r="GE21" s="49"/>
      <c r="GF21" s="49"/>
      <c r="GG21" s="49"/>
      <c r="GH21" s="49"/>
      <c r="GI21" s="49"/>
      <c r="GJ21" s="49"/>
      <c r="GK21" s="49"/>
      <c r="GL21" s="49"/>
      <c r="GM21" s="49"/>
      <c r="GN21" s="49"/>
      <c r="GO21" s="49"/>
      <c r="GP21" s="49"/>
      <c r="GQ21" s="49"/>
      <c r="GR21" s="49"/>
      <c r="GS21" s="49"/>
      <c r="GT21" s="49"/>
      <c r="GU21" s="49"/>
      <c r="GV21" s="49"/>
      <c r="GW21" s="49"/>
      <c r="GX21" s="49"/>
      <c r="GY21" s="49"/>
      <c r="GZ21" s="49"/>
      <c r="HA21" s="49"/>
      <c r="HB21" s="49"/>
      <c r="HC21" s="49"/>
      <c r="HD21" s="49"/>
      <c r="HE21" s="49"/>
      <c r="HF21" s="49"/>
      <c r="HG21" s="49"/>
      <c r="HH21" s="49"/>
      <c r="HI21" s="49"/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</row>
    <row r="22" spans="1:234" ht="17.5" x14ac:dyDescent="0.45">
      <c r="A22" s="269" t="s">
        <v>57</v>
      </c>
      <c r="B22" s="281">
        <v>4319</v>
      </c>
      <c r="C22" s="281"/>
      <c r="D22" s="281">
        <v>1416</v>
      </c>
      <c r="E22" s="281">
        <f>(6500/7700)*8241</f>
        <v>6956.6883116883109</v>
      </c>
      <c r="F22" s="281">
        <f>(500/7900)*5547</f>
        <v>351.07594936708864</v>
      </c>
      <c r="G22" s="281">
        <f t="shared" si="0"/>
        <v>7307.7642610553994</v>
      </c>
      <c r="H22" s="287">
        <v>0</v>
      </c>
      <c r="I22" s="287">
        <v>0</v>
      </c>
      <c r="J22" s="287">
        <f>Table26[[#This Row],[
FRIANT-KERN CANAL -KAWEAH DELTA WCD   1/
CLASS 1]]+Table26[[#This Row],[
FRIANT-KERN CANAL -KAWEAH DELTA WCD   1/
CLASS 2]]</f>
        <v>0</v>
      </c>
      <c r="K22" s="63">
        <f t="shared" si="1"/>
        <v>12691.688311688311</v>
      </c>
      <c r="L22" s="57"/>
      <c r="M22" s="63">
        <f t="shared" si="2"/>
        <v>351.07594936708864</v>
      </c>
      <c r="N22" s="48"/>
      <c r="O22" s="48"/>
      <c r="P22" s="48"/>
      <c r="Q22" s="48"/>
      <c r="R22" s="48"/>
      <c r="S22" s="48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  <c r="AT22" s="49"/>
      <c r="AU22" s="49"/>
      <c r="AV22" s="49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9"/>
      <c r="BH22" s="49"/>
      <c r="BI22" s="49"/>
      <c r="BJ22" s="49"/>
      <c r="BK22" s="49"/>
      <c r="BL22" s="49"/>
      <c r="BM22" s="49"/>
      <c r="BN22" s="49"/>
      <c r="BO22" s="49"/>
      <c r="BP22" s="49"/>
      <c r="BQ22" s="49"/>
      <c r="BR22" s="49"/>
      <c r="BS22" s="49"/>
      <c r="BT22" s="49"/>
      <c r="BU22" s="49"/>
      <c r="BV22" s="49"/>
      <c r="BW22" s="49"/>
      <c r="BX22" s="49"/>
      <c r="BY22" s="49"/>
      <c r="BZ22" s="49"/>
      <c r="CA22" s="49"/>
      <c r="CB22" s="49"/>
      <c r="CC22" s="49"/>
      <c r="CD22" s="49"/>
      <c r="CE22" s="49"/>
      <c r="CF22" s="49"/>
      <c r="CG22" s="49"/>
      <c r="CH22" s="49"/>
      <c r="CI22" s="49"/>
      <c r="CJ22" s="49"/>
      <c r="CK22" s="49"/>
      <c r="CL22" s="49"/>
      <c r="CM22" s="49"/>
      <c r="CN22" s="49"/>
      <c r="CO22" s="49"/>
      <c r="CP22" s="49"/>
      <c r="CQ22" s="49"/>
      <c r="CR22" s="49"/>
      <c r="CS22" s="49"/>
      <c r="CT22" s="49"/>
      <c r="CU22" s="49"/>
      <c r="CV22" s="49"/>
      <c r="CW22" s="49"/>
      <c r="CX22" s="49"/>
      <c r="CY22" s="49"/>
      <c r="CZ22" s="49"/>
      <c r="DA22" s="49"/>
      <c r="DB22" s="49"/>
      <c r="DC22" s="49"/>
      <c r="DD22" s="49"/>
      <c r="DE22" s="49"/>
      <c r="DF22" s="49"/>
      <c r="DG22" s="49"/>
      <c r="DH22" s="49"/>
      <c r="DI22" s="49"/>
      <c r="DJ22" s="49"/>
      <c r="DK22" s="49"/>
      <c r="DL22" s="49"/>
      <c r="DM22" s="49"/>
      <c r="DN22" s="49"/>
      <c r="DO22" s="49"/>
      <c r="DP22" s="49"/>
      <c r="DQ22" s="49"/>
      <c r="DR22" s="49"/>
      <c r="DS22" s="49"/>
      <c r="DT22" s="49"/>
      <c r="DU22" s="49"/>
      <c r="DV22" s="49"/>
      <c r="DW22" s="49"/>
      <c r="DX22" s="49"/>
      <c r="DY22" s="49"/>
      <c r="DZ22" s="49"/>
      <c r="EA22" s="49"/>
      <c r="EB22" s="49"/>
      <c r="EC22" s="49"/>
      <c r="ED22" s="49"/>
      <c r="EE22" s="49"/>
      <c r="EF22" s="49"/>
      <c r="EG22" s="49"/>
      <c r="EH22" s="49"/>
      <c r="EI22" s="49"/>
      <c r="EJ22" s="49"/>
      <c r="EK22" s="49"/>
      <c r="EL22" s="49"/>
      <c r="EM22" s="49"/>
      <c r="EN22" s="49"/>
      <c r="EO22" s="49"/>
      <c r="EP22" s="49"/>
      <c r="EQ22" s="49"/>
      <c r="ER22" s="49"/>
      <c r="ES22" s="49"/>
      <c r="ET22" s="49"/>
      <c r="EU22" s="49"/>
      <c r="EV22" s="49"/>
      <c r="EW22" s="49"/>
      <c r="EX22" s="49"/>
      <c r="EY22" s="49"/>
      <c r="EZ22" s="49"/>
      <c r="FA22" s="49"/>
      <c r="FB22" s="49"/>
      <c r="FC22" s="49"/>
      <c r="FD22" s="49"/>
      <c r="FE22" s="49"/>
      <c r="FF22" s="49"/>
      <c r="FG22" s="49"/>
      <c r="FH22" s="49"/>
      <c r="FI22" s="49"/>
      <c r="FJ22" s="49"/>
      <c r="FK22" s="49"/>
      <c r="FL22" s="49"/>
      <c r="FM22" s="49"/>
      <c r="FN22" s="49"/>
      <c r="FO22" s="49"/>
      <c r="FP22" s="49"/>
      <c r="FQ22" s="49"/>
      <c r="FR22" s="49"/>
      <c r="FS22" s="49"/>
      <c r="FT22" s="49"/>
      <c r="FU22" s="49"/>
      <c r="FV22" s="49"/>
      <c r="FW22" s="49"/>
      <c r="FX22" s="49"/>
      <c r="FY22" s="49"/>
      <c r="FZ22" s="49"/>
      <c r="GA22" s="49"/>
      <c r="GB22" s="49"/>
      <c r="GC22" s="49"/>
      <c r="GD22" s="49"/>
      <c r="GE22" s="49"/>
      <c r="GF22" s="49"/>
      <c r="GG22" s="49"/>
      <c r="GH22" s="49"/>
      <c r="GI22" s="49"/>
      <c r="GJ22" s="49"/>
      <c r="GK22" s="49"/>
      <c r="GL22" s="49"/>
      <c r="GM22" s="49"/>
      <c r="GN22" s="49"/>
      <c r="GO22" s="49"/>
      <c r="GP22" s="49"/>
      <c r="GQ22" s="49"/>
      <c r="GR22" s="49"/>
      <c r="GS22" s="49"/>
      <c r="GT22" s="49"/>
      <c r="GU22" s="49"/>
      <c r="GV22" s="49"/>
      <c r="GW22" s="49"/>
      <c r="GX22" s="49"/>
      <c r="GY22" s="49"/>
      <c r="GZ22" s="49"/>
      <c r="HA22" s="49"/>
      <c r="HB22" s="49"/>
      <c r="HC22" s="49"/>
      <c r="HD22" s="49"/>
      <c r="HE22" s="49"/>
      <c r="HF22" s="49"/>
      <c r="HG22" s="49"/>
      <c r="HH22" s="49"/>
      <c r="HI22" s="49"/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49"/>
      <c r="HU22" s="49"/>
      <c r="HV22" s="49"/>
      <c r="HW22" s="49"/>
      <c r="HX22" s="49"/>
      <c r="HY22" s="49"/>
      <c r="HZ22" s="49"/>
    </row>
    <row r="23" spans="1:234" ht="17.5" x14ac:dyDescent="0.45">
      <c r="A23" s="269" t="s">
        <v>58</v>
      </c>
      <c r="B23" s="281">
        <v>3306</v>
      </c>
      <c r="C23" s="281"/>
      <c r="D23" s="281">
        <v>1189</v>
      </c>
      <c r="E23" s="281">
        <f>(6500/7700)*7446</f>
        <v>6285.5844155844152</v>
      </c>
      <c r="F23" s="281">
        <f>(500/7900)*3174</f>
        <v>200.8860759493671</v>
      </c>
      <c r="G23" s="281">
        <f t="shared" si="0"/>
        <v>6486.4704915337825</v>
      </c>
      <c r="H23" s="287">
        <v>0</v>
      </c>
      <c r="I23" s="287">
        <v>0</v>
      </c>
      <c r="J23" s="287">
        <f>Table26[[#This Row],[
FRIANT-KERN CANAL -KAWEAH DELTA WCD   1/
CLASS 1]]+Table26[[#This Row],[
FRIANT-KERN CANAL -KAWEAH DELTA WCD   1/
CLASS 2]]</f>
        <v>0</v>
      </c>
      <c r="K23" s="63">
        <f t="shared" si="1"/>
        <v>10780.584415584415</v>
      </c>
      <c r="L23" s="63"/>
      <c r="M23" s="63">
        <f t="shared" si="2"/>
        <v>200.8860759493671</v>
      </c>
      <c r="N23" s="79"/>
      <c r="O23" s="48"/>
      <c r="P23" s="79"/>
      <c r="Q23" s="48"/>
      <c r="R23" s="79"/>
      <c r="S23" s="48"/>
      <c r="T23" s="91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9"/>
      <c r="CB23" s="49"/>
      <c r="CC23" s="49"/>
      <c r="CD23" s="49"/>
      <c r="CE23" s="49"/>
      <c r="CF23" s="49"/>
      <c r="CG23" s="49"/>
      <c r="CH23" s="49"/>
      <c r="CI23" s="49"/>
      <c r="CJ23" s="49"/>
      <c r="CK23" s="49"/>
      <c r="CL23" s="49"/>
      <c r="CM23" s="49"/>
      <c r="CN23" s="49"/>
      <c r="CO23" s="49"/>
      <c r="CP23" s="49"/>
      <c r="CQ23" s="49"/>
      <c r="CR23" s="49"/>
      <c r="CS23" s="49"/>
      <c r="CT23" s="49"/>
      <c r="CU23" s="49"/>
      <c r="CV23" s="49"/>
      <c r="CW23" s="49"/>
      <c r="CX23" s="49"/>
      <c r="CY23" s="49"/>
      <c r="CZ23" s="49"/>
      <c r="DA23" s="49"/>
      <c r="DB23" s="49"/>
      <c r="DC23" s="49"/>
      <c r="DD23" s="49"/>
      <c r="DE23" s="49"/>
      <c r="DF23" s="49"/>
      <c r="DG23" s="49"/>
      <c r="DH23" s="49"/>
      <c r="DI23" s="49"/>
      <c r="DJ23" s="49"/>
      <c r="DK23" s="49"/>
      <c r="DL23" s="49"/>
      <c r="DM23" s="49"/>
      <c r="DN23" s="49"/>
      <c r="DO23" s="49"/>
      <c r="DP23" s="49"/>
      <c r="DQ23" s="49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49"/>
      <c r="EO23" s="49"/>
      <c r="EP23" s="49"/>
      <c r="EQ23" s="49"/>
      <c r="ER23" s="49"/>
      <c r="ES23" s="49"/>
      <c r="ET23" s="49"/>
      <c r="EU23" s="49"/>
      <c r="EV23" s="49"/>
      <c r="EW23" s="49"/>
      <c r="EX23" s="49"/>
      <c r="EY23" s="49"/>
      <c r="EZ23" s="49"/>
      <c r="FA23" s="49"/>
      <c r="FB23" s="49"/>
      <c r="FC23" s="49"/>
      <c r="FD23" s="49"/>
      <c r="FE23" s="49"/>
      <c r="FF23" s="49"/>
      <c r="FG23" s="49"/>
      <c r="FH23" s="49"/>
      <c r="FI23" s="49"/>
      <c r="FJ23" s="49"/>
      <c r="FK23" s="49"/>
      <c r="FL23" s="49"/>
      <c r="FM23" s="49"/>
      <c r="FN23" s="49"/>
      <c r="FO23" s="49"/>
      <c r="FP23" s="49"/>
      <c r="FQ23" s="49"/>
      <c r="FR23" s="49"/>
      <c r="FS23" s="49"/>
      <c r="FT23" s="49"/>
      <c r="FU23" s="49"/>
      <c r="FV23" s="49"/>
      <c r="FW23" s="49"/>
      <c r="FX23" s="49"/>
      <c r="FY23" s="49"/>
      <c r="FZ23" s="49"/>
      <c r="GA23" s="49"/>
      <c r="GB23" s="49"/>
      <c r="GC23" s="49"/>
      <c r="GD23" s="49"/>
      <c r="GE23" s="49"/>
      <c r="GF23" s="49"/>
      <c r="GG23" s="49"/>
      <c r="GH23" s="49"/>
      <c r="GI23" s="49"/>
      <c r="GJ23" s="49"/>
      <c r="GK23" s="49"/>
      <c r="GL23" s="49"/>
      <c r="GM23" s="49"/>
      <c r="GN23" s="49"/>
      <c r="GO23" s="49"/>
      <c r="GP23" s="49"/>
      <c r="GQ23" s="49"/>
      <c r="GR23" s="49"/>
      <c r="GS23" s="49"/>
      <c r="GT23" s="49"/>
      <c r="GU23" s="49"/>
      <c r="GV23" s="49"/>
      <c r="GW23" s="49"/>
      <c r="GX23" s="49"/>
      <c r="GY23" s="49"/>
      <c r="GZ23" s="49"/>
      <c r="HA23" s="49"/>
      <c r="HB23" s="49"/>
      <c r="HC23" s="49"/>
      <c r="HD23" s="49"/>
      <c r="HE23" s="49"/>
      <c r="HF23" s="49"/>
      <c r="HG23" s="49"/>
      <c r="HH23" s="49"/>
      <c r="HI23" s="49"/>
      <c r="HJ23" s="49"/>
      <c r="HK23" s="49"/>
      <c r="HL23" s="49"/>
      <c r="HM23" s="49"/>
      <c r="HN23" s="49"/>
      <c r="HO23" s="49"/>
      <c r="HP23" s="49"/>
      <c r="HQ23" s="49"/>
      <c r="HR23" s="49"/>
      <c r="HS23" s="49"/>
      <c r="HT23" s="49"/>
      <c r="HU23" s="49"/>
      <c r="HV23" s="49"/>
      <c r="HW23" s="49"/>
      <c r="HX23" s="49"/>
      <c r="HY23" s="49"/>
      <c r="HZ23" s="49"/>
    </row>
    <row r="24" spans="1:234" ht="17.5" x14ac:dyDescent="0.45">
      <c r="A24" s="269" t="s">
        <v>59</v>
      </c>
      <c r="B24" s="281">
        <v>1117</v>
      </c>
      <c r="C24" s="281"/>
      <c r="D24" s="281">
        <v>283</v>
      </c>
      <c r="E24" s="281">
        <f>(6500/7700)*7184</f>
        <v>6064.4155844155839</v>
      </c>
      <c r="F24" s="281">
        <f>(500/7900)*1085</f>
        <v>68.670886075949369</v>
      </c>
      <c r="G24" s="281">
        <f t="shared" si="0"/>
        <v>6133.086470491533</v>
      </c>
      <c r="H24" s="287">
        <v>0</v>
      </c>
      <c r="I24" s="287">
        <v>0</v>
      </c>
      <c r="J24" s="287">
        <f>Table26[[#This Row],[
FRIANT-KERN CANAL -KAWEAH DELTA WCD   1/
CLASS 1]]+Table26[[#This Row],[
FRIANT-KERN CANAL -KAWEAH DELTA WCD   1/
CLASS 2]]</f>
        <v>0</v>
      </c>
      <c r="K24" s="63">
        <f t="shared" si="1"/>
        <v>7464.4155844155839</v>
      </c>
      <c r="L24" s="63"/>
      <c r="M24" s="63">
        <f t="shared" si="2"/>
        <v>68.670886075949369</v>
      </c>
      <c r="N24" s="79"/>
      <c r="O24" s="48"/>
      <c r="P24" s="79"/>
      <c r="Q24" s="48"/>
      <c r="R24" s="79"/>
      <c r="S24" s="48"/>
      <c r="T24" s="91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9"/>
      <c r="BH24" s="49"/>
      <c r="BI24" s="49"/>
      <c r="BJ24" s="49"/>
      <c r="BK24" s="49"/>
      <c r="BL24" s="49"/>
      <c r="BM24" s="49"/>
      <c r="BN24" s="49"/>
      <c r="BO24" s="49"/>
      <c r="BP24" s="49"/>
      <c r="BQ24" s="49"/>
      <c r="BR24" s="49"/>
      <c r="BS24" s="49"/>
      <c r="BT24" s="49"/>
      <c r="BU24" s="49"/>
      <c r="BV24" s="49"/>
      <c r="BW24" s="49"/>
      <c r="BX24" s="49"/>
      <c r="BY24" s="49"/>
      <c r="BZ24" s="49"/>
      <c r="CA24" s="49"/>
      <c r="CB24" s="49"/>
      <c r="CC24" s="49"/>
      <c r="CD24" s="49"/>
      <c r="CE24" s="49"/>
      <c r="CF24" s="49"/>
      <c r="CG24" s="49"/>
      <c r="CH24" s="49"/>
      <c r="CI24" s="49"/>
      <c r="CJ24" s="49"/>
      <c r="CK24" s="49"/>
      <c r="CL24" s="49"/>
      <c r="CM24" s="49"/>
      <c r="CN24" s="49"/>
      <c r="CO24" s="49"/>
      <c r="CP24" s="49"/>
      <c r="CQ24" s="49"/>
      <c r="CR24" s="49"/>
      <c r="CS24" s="49"/>
      <c r="CT24" s="49"/>
      <c r="CU24" s="49"/>
      <c r="CV24" s="49"/>
      <c r="CW24" s="49"/>
      <c r="CX24" s="49"/>
      <c r="CY24" s="49"/>
      <c r="CZ24" s="49"/>
      <c r="DA24" s="49"/>
      <c r="DB24" s="49"/>
      <c r="DC24" s="49"/>
      <c r="DD24" s="49"/>
      <c r="DE24" s="49"/>
      <c r="DF24" s="49"/>
      <c r="DG24" s="49"/>
      <c r="DH24" s="49"/>
      <c r="DI24" s="49"/>
      <c r="DJ24" s="49"/>
      <c r="DK24" s="49"/>
      <c r="DL24" s="49"/>
      <c r="DM24" s="49"/>
      <c r="DN24" s="49"/>
      <c r="DO24" s="49"/>
      <c r="DP24" s="49"/>
      <c r="DQ24" s="49"/>
      <c r="DR24" s="49"/>
      <c r="DS24" s="49"/>
      <c r="DT24" s="49"/>
      <c r="DU24" s="49"/>
      <c r="DV24" s="49"/>
      <c r="DW24" s="49"/>
      <c r="DX24" s="49"/>
      <c r="DY24" s="49"/>
      <c r="DZ24" s="49"/>
      <c r="EA24" s="49"/>
      <c r="EB24" s="49"/>
      <c r="EC24" s="49"/>
      <c r="ED24" s="49"/>
      <c r="EE24" s="49"/>
      <c r="EF24" s="49"/>
      <c r="EG24" s="49"/>
      <c r="EH24" s="49"/>
      <c r="EI24" s="49"/>
      <c r="EJ24" s="49"/>
      <c r="EK24" s="49"/>
      <c r="EL24" s="49"/>
      <c r="EM24" s="49"/>
      <c r="EN24" s="49"/>
      <c r="EO24" s="49"/>
      <c r="EP24" s="49"/>
      <c r="EQ24" s="49"/>
      <c r="ER24" s="49"/>
      <c r="ES24" s="49"/>
      <c r="ET24" s="49"/>
      <c r="EU24" s="49"/>
      <c r="EV24" s="49"/>
      <c r="EW24" s="49"/>
      <c r="EX24" s="49"/>
      <c r="EY24" s="49"/>
      <c r="EZ24" s="49"/>
      <c r="FA24" s="49"/>
      <c r="FB24" s="49"/>
      <c r="FC24" s="49"/>
      <c r="FD24" s="49"/>
      <c r="FE24" s="49"/>
      <c r="FF24" s="49"/>
      <c r="FG24" s="49"/>
      <c r="FH24" s="49"/>
      <c r="FI24" s="49"/>
      <c r="FJ24" s="49"/>
      <c r="FK24" s="49"/>
      <c r="FL24" s="49"/>
      <c r="FM24" s="49"/>
      <c r="FN24" s="49"/>
      <c r="FO24" s="49"/>
      <c r="FP24" s="49"/>
      <c r="FQ24" s="49"/>
      <c r="FR24" s="49"/>
      <c r="FS24" s="49"/>
      <c r="FT24" s="49"/>
      <c r="FU24" s="49"/>
      <c r="FV24" s="49"/>
      <c r="FW24" s="49"/>
      <c r="FX24" s="49"/>
      <c r="FY24" s="49"/>
      <c r="FZ24" s="49"/>
      <c r="GA24" s="49"/>
      <c r="GB24" s="49"/>
      <c r="GC24" s="49"/>
      <c r="GD24" s="49"/>
      <c r="GE24" s="49"/>
      <c r="GF24" s="49"/>
      <c r="GG24" s="49"/>
      <c r="GH24" s="49"/>
      <c r="GI24" s="49"/>
      <c r="GJ24" s="49"/>
      <c r="GK24" s="49"/>
      <c r="GL24" s="49"/>
      <c r="GM24" s="49"/>
      <c r="GN24" s="49"/>
      <c r="GO24" s="49"/>
      <c r="GP24" s="49"/>
      <c r="GQ24" s="49"/>
      <c r="GR24" s="49"/>
      <c r="GS24" s="49"/>
      <c r="GT24" s="49"/>
      <c r="GU24" s="49"/>
      <c r="GV24" s="49"/>
      <c r="GW24" s="49"/>
      <c r="GX24" s="49"/>
      <c r="GY24" s="49"/>
      <c r="GZ24" s="49"/>
      <c r="HA24" s="49"/>
      <c r="HB24" s="49"/>
      <c r="HC24" s="49"/>
      <c r="HD24" s="49"/>
      <c r="HE24" s="49"/>
      <c r="HF24" s="49"/>
      <c r="HG24" s="49"/>
      <c r="HH24" s="49"/>
      <c r="HI24" s="49"/>
      <c r="HJ24" s="49"/>
      <c r="HK24" s="49"/>
      <c r="HL24" s="49"/>
      <c r="HM24" s="49"/>
      <c r="HN24" s="49"/>
      <c r="HO24" s="49"/>
      <c r="HP24" s="49"/>
      <c r="HQ24" s="49"/>
      <c r="HR24" s="49"/>
      <c r="HS24" s="49"/>
      <c r="HT24" s="49"/>
      <c r="HU24" s="49"/>
      <c r="HV24" s="49"/>
      <c r="HW24" s="49"/>
      <c r="HX24" s="49"/>
      <c r="HY24" s="49"/>
      <c r="HZ24" s="49"/>
    </row>
    <row r="25" spans="1:234" ht="17.5" x14ac:dyDescent="0.45">
      <c r="A25" s="269" t="s">
        <v>111</v>
      </c>
      <c r="B25" s="281">
        <v>5484</v>
      </c>
      <c r="C25" s="281"/>
      <c r="D25" s="281">
        <v>1502</v>
      </c>
      <c r="E25" s="281">
        <f>(6500/7700)*9209</f>
        <v>7773.8311688311687</v>
      </c>
      <c r="F25" s="281">
        <f>(500/7900)*1580</f>
        <v>100</v>
      </c>
      <c r="G25" s="281">
        <f t="shared" si="0"/>
        <v>7873.8311688311687</v>
      </c>
      <c r="H25" s="287">
        <v>0</v>
      </c>
      <c r="I25" s="287">
        <v>0</v>
      </c>
      <c r="J25" s="287">
        <f>Table26[[#This Row],[
FRIANT-KERN CANAL -KAWEAH DELTA WCD   1/
CLASS 1]]+Table26[[#This Row],[
FRIANT-KERN CANAL -KAWEAH DELTA WCD   1/
CLASS 2]]</f>
        <v>0</v>
      </c>
      <c r="K25" s="63">
        <f t="shared" si="1"/>
        <v>14759.83116883117</v>
      </c>
      <c r="L25" s="63"/>
      <c r="M25" s="63">
        <f t="shared" si="2"/>
        <v>100</v>
      </c>
      <c r="N25" s="79"/>
      <c r="O25" s="48"/>
      <c r="P25" s="79"/>
      <c r="Q25" s="48"/>
      <c r="R25" s="79"/>
      <c r="S25" s="48"/>
      <c r="T25" s="91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49"/>
      <c r="BE25" s="49"/>
      <c r="BF25" s="49"/>
      <c r="BG25" s="49"/>
      <c r="BH25" s="49"/>
      <c r="BI25" s="49"/>
      <c r="BJ25" s="49"/>
      <c r="BK25" s="49"/>
      <c r="BL25" s="49"/>
      <c r="BM25" s="49"/>
      <c r="BN25" s="49"/>
      <c r="BO25" s="49"/>
      <c r="BP25" s="49"/>
      <c r="BQ25" s="49"/>
      <c r="BR25" s="49"/>
      <c r="BS25" s="49"/>
      <c r="BT25" s="49"/>
      <c r="BU25" s="49"/>
      <c r="BV25" s="49"/>
      <c r="BW25" s="49"/>
      <c r="BX25" s="49"/>
      <c r="BY25" s="49"/>
      <c r="BZ25" s="49"/>
      <c r="CA25" s="49"/>
      <c r="CB25" s="49"/>
      <c r="CC25" s="49"/>
      <c r="CD25" s="49"/>
      <c r="CE25" s="49"/>
      <c r="CF25" s="49"/>
      <c r="CG25" s="49"/>
      <c r="CH25" s="49"/>
      <c r="CI25" s="49"/>
      <c r="CJ25" s="49"/>
      <c r="CK25" s="49"/>
      <c r="CL25" s="49"/>
      <c r="CM25" s="49"/>
      <c r="CN25" s="49"/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9"/>
      <c r="DE25" s="49"/>
      <c r="DF25" s="49"/>
      <c r="DG25" s="49"/>
      <c r="DH25" s="49"/>
      <c r="DI25" s="49"/>
      <c r="DJ25" s="49"/>
      <c r="DK25" s="49"/>
      <c r="DL25" s="49"/>
      <c r="DM25" s="49"/>
      <c r="DN25" s="49"/>
      <c r="DO25" s="49"/>
      <c r="DP25" s="49"/>
      <c r="DQ25" s="49"/>
      <c r="DR25" s="49"/>
      <c r="DS25" s="49"/>
      <c r="DT25" s="49"/>
      <c r="DU25" s="49"/>
      <c r="DV25" s="49"/>
      <c r="DW25" s="49"/>
      <c r="DX25" s="49"/>
      <c r="DY25" s="49"/>
      <c r="DZ25" s="49"/>
      <c r="EA25" s="49"/>
      <c r="EB25" s="49"/>
      <c r="EC25" s="49"/>
      <c r="ED25" s="49"/>
      <c r="EE25" s="49"/>
      <c r="EF25" s="49"/>
      <c r="EG25" s="49"/>
      <c r="EH25" s="49"/>
      <c r="EI25" s="49"/>
      <c r="EJ25" s="49"/>
      <c r="EK25" s="49"/>
      <c r="EL25" s="49"/>
      <c r="EM25" s="49"/>
      <c r="EN25" s="49"/>
      <c r="EO25" s="49"/>
      <c r="EP25" s="49"/>
      <c r="EQ25" s="49"/>
      <c r="ER25" s="49"/>
      <c r="ES25" s="49"/>
      <c r="ET25" s="49"/>
      <c r="EU25" s="49"/>
      <c r="EV25" s="49"/>
      <c r="EW25" s="49"/>
      <c r="EX25" s="49"/>
      <c r="EY25" s="49"/>
      <c r="EZ25" s="49"/>
      <c r="FA25" s="49"/>
      <c r="FB25" s="49"/>
      <c r="FC25" s="49"/>
      <c r="FD25" s="49"/>
      <c r="FE25" s="49"/>
      <c r="FF25" s="49"/>
      <c r="FG25" s="49"/>
      <c r="FH25" s="49"/>
      <c r="FI25" s="49"/>
      <c r="FJ25" s="49"/>
      <c r="FK25" s="49"/>
      <c r="FL25" s="49"/>
      <c r="FM25" s="49"/>
      <c r="FN25" s="49"/>
      <c r="FO25" s="49"/>
      <c r="FP25" s="49"/>
      <c r="FQ25" s="49"/>
      <c r="FR25" s="49"/>
      <c r="FS25" s="49"/>
      <c r="FT25" s="49"/>
      <c r="FU25" s="49"/>
      <c r="FV25" s="49"/>
      <c r="FW25" s="49"/>
      <c r="FX25" s="49"/>
      <c r="FY25" s="49"/>
      <c r="FZ25" s="49"/>
      <c r="GA25" s="49"/>
      <c r="GB25" s="49"/>
      <c r="GC25" s="49"/>
      <c r="GD25" s="49"/>
      <c r="GE25" s="49"/>
      <c r="GF25" s="49"/>
      <c r="GG25" s="49"/>
      <c r="GH25" s="49"/>
      <c r="GI25" s="49"/>
      <c r="GJ25" s="49"/>
      <c r="GK25" s="49"/>
      <c r="GL25" s="49"/>
      <c r="GM25" s="49"/>
      <c r="GN25" s="49"/>
      <c r="GO25" s="49"/>
      <c r="GP25" s="49"/>
      <c r="GQ25" s="49"/>
      <c r="GR25" s="49"/>
      <c r="GS25" s="49"/>
      <c r="GT25" s="49"/>
      <c r="GU25" s="49"/>
      <c r="GV25" s="49"/>
      <c r="GW25" s="49"/>
      <c r="GX25" s="49"/>
      <c r="GY25" s="49"/>
      <c r="GZ25" s="49"/>
      <c r="HA25" s="49"/>
      <c r="HB25" s="49"/>
      <c r="HC25" s="49"/>
      <c r="HD25" s="49"/>
      <c r="HE25" s="49"/>
      <c r="HF25" s="49"/>
      <c r="HG25" s="49"/>
      <c r="HH25" s="49"/>
      <c r="HI25" s="49"/>
      <c r="HJ25" s="49"/>
      <c r="HK25" s="49"/>
      <c r="HL25" s="49"/>
      <c r="HM25" s="49"/>
      <c r="HN25" s="49"/>
      <c r="HO25" s="49"/>
      <c r="HP25" s="49"/>
      <c r="HQ25" s="49"/>
      <c r="HR25" s="49"/>
      <c r="HS25" s="49"/>
      <c r="HT25" s="49"/>
      <c r="HU25" s="49"/>
      <c r="HV25" s="49"/>
      <c r="HW25" s="49"/>
      <c r="HX25" s="49"/>
      <c r="HY25" s="49"/>
      <c r="HZ25" s="49"/>
    </row>
    <row r="26" spans="1:234" ht="17.5" x14ac:dyDescent="0.45">
      <c r="A26" s="269" t="s">
        <v>60</v>
      </c>
      <c r="B26" s="281">
        <v>3228</v>
      </c>
      <c r="C26" s="281"/>
      <c r="D26" s="281">
        <v>1198</v>
      </c>
      <c r="E26" s="281">
        <f>(6500/7700)*6747</f>
        <v>5695.5194805194806</v>
      </c>
      <c r="F26" s="281">
        <f>(500/7900)*1918</f>
        <v>121.39240506329115</v>
      </c>
      <c r="G26" s="281">
        <f t="shared" si="0"/>
        <v>5816.9118855827719</v>
      </c>
      <c r="H26" s="287">
        <v>0</v>
      </c>
      <c r="I26" s="287">
        <v>0</v>
      </c>
      <c r="J26" s="287">
        <f>Table26[[#This Row],[
FRIANT-KERN CANAL -KAWEAH DELTA WCD   1/
CLASS 1]]+Table26[[#This Row],[
FRIANT-KERN CANAL -KAWEAH DELTA WCD   1/
CLASS 2]]</f>
        <v>0</v>
      </c>
      <c r="K26" s="63">
        <f t="shared" si="1"/>
        <v>10121.519480519481</v>
      </c>
      <c r="L26" s="63"/>
      <c r="M26" s="63">
        <f t="shared" si="2"/>
        <v>121.39240506329115</v>
      </c>
      <c r="N26" s="79"/>
      <c r="O26" s="48"/>
      <c r="P26" s="79"/>
      <c r="Q26" s="48"/>
      <c r="R26" s="79"/>
      <c r="S26" s="48"/>
      <c r="T26" s="91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9"/>
      <c r="BH26" s="49"/>
      <c r="BI26" s="49"/>
      <c r="BJ26" s="49"/>
      <c r="BK26" s="49"/>
      <c r="BL26" s="49"/>
      <c r="BM26" s="49"/>
      <c r="BN26" s="49"/>
      <c r="BO26" s="49"/>
      <c r="BP26" s="49"/>
      <c r="BQ26" s="49"/>
      <c r="BR26" s="49"/>
      <c r="BS26" s="49"/>
      <c r="BT26" s="49"/>
      <c r="BU26" s="49"/>
      <c r="BV26" s="49"/>
      <c r="BW26" s="49"/>
      <c r="BX26" s="49"/>
      <c r="BY26" s="49"/>
      <c r="BZ26" s="49"/>
      <c r="CA26" s="49"/>
      <c r="CB26" s="49"/>
      <c r="CC26" s="49"/>
      <c r="CD26" s="49"/>
      <c r="CE26" s="49"/>
      <c r="CF26" s="49"/>
      <c r="CG26" s="49"/>
      <c r="CH26" s="49"/>
      <c r="CI26" s="49"/>
      <c r="CJ26" s="49"/>
      <c r="CK26" s="49"/>
      <c r="CL26" s="49"/>
      <c r="CM26" s="49"/>
      <c r="CN26" s="49"/>
      <c r="CO26" s="49"/>
      <c r="CP26" s="49"/>
      <c r="CQ26" s="49"/>
      <c r="CR26" s="49"/>
      <c r="CS26" s="49"/>
      <c r="CT26" s="49"/>
      <c r="CU26" s="49"/>
      <c r="CV26" s="49"/>
      <c r="CW26" s="49"/>
      <c r="CX26" s="49"/>
      <c r="CY26" s="49"/>
      <c r="CZ26" s="49"/>
      <c r="DA26" s="49"/>
      <c r="DB26" s="49"/>
      <c r="DC26" s="49"/>
      <c r="DD26" s="49"/>
      <c r="DE26" s="49"/>
      <c r="DF26" s="49"/>
      <c r="DG26" s="49"/>
      <c r="DH26" s="49"/>
      <c r="DI26" s="49"/>
      <c r="DJ26" s="49"/>
      <c r="DK26" s="49"/>
      <c r="DL26" s="49"/>
      <c r="DM26" s="49"/>
      <c r="DN26" s="49"/>
      <c r="DO26" s="49"/>
      <c r="DP26" s="49"/>
      <c r="DQ26" s="49"/>
      <c r="DR26" s="49"/>
      <c r="DS26" s="49"/>
      <c r="DT26" s="49"/>
      <c r="DU26" s="49"/>
      <c r="DV26" s="49"/>
      <c r="DW26" s="49"/>
      <c r="DX26" s="49"/>
      <c r="DY26" s="49"/>
      <c r="DZ26" s="49"/>
      <c r="EA26" s="49"/>
      <c r="EB26" s="49"/>
      <c r="EC26" s="49"/>
      <c r="ED26" s="49"/>
      <c r="EE26" s="49"/>
      <c r="EF26" s="49"/>
      <c r="EG26" s="49"/>
      <c r="EH26" s="49"/>
      <c r="EI26" s="49"/>
      <c r="EJ26" s="49"/>
      <c r="EK26" s="49"/>
      <c r="EL26" s="49"/>
      <c r="EM26" s="49"/>
      <c r="EN26" s="49"/>
      <c r="EO26" s="49"/>
      <c r="EP26" s="49"/>
      <c r="EQ26" s="49"/>
      <c r="ER26" s="49"/>
      <c r="ES26" s="49"/>
      <c r="ET26" s="49"/>
      <c r="EU26" s="49"/>
      <c r="EV26" s="49"/>
      <c r="EW26" s="49"/>
      <c r="EX26" s="49"/>
      <c r="EY26" s="49"/>
      <c r="EZ26" s="49"/>
      <c r="FA26" s="49"/>
      <c r="FB26" s="49"/>
      <c r="FC26" s="49"/>
      <c r="FD26" s="49"/>
      <c r="FE26" s="49"/>
      <c r="FF26" s="49"/>
      <c r="FG26" s="49"/>
      <c r="FH26" s="49"/>
      <c r="FI26" s="49"/>
      <c r="FJ26" s="49"/>
      <c r="FK26" s="49"/>
      <c r="FL26" s="49"/>
      <c r="FM26" s="49"/>
      <c r="FN26" s="49"/>
      <c r="FO26" s="49"/>
      <c r="FP26" s="49"/>
      <c r="FQ26" s="49"/>
      <c r="FR26" s="49"/>
      <c r="FS26" s="49"/>
      <c r="FT26" s="49"/>
      <c r="FU26" s="49"/>
      <c r="FV26" s="49"/>
      <c r="FW26" s="49"/>
      <c r="FX26" s="49"/>
      <c r="FY26" s="49"/>
      <c r="FZ26" s="49"/>
      <c r="GA26" s="49"/>
      <c r="GB26" s="49"/>
      <c r="GC26" s="49"/>
      <c r="GD26" s="49"/>
      <c r="GE26" s="49"/>
      <c r="GF26" s="49"/>
      <c r="GG26" s="49"/>
      <c r="GH26" s="49"/>
      <c r="GI26" s="49"/>
      <c r="GJ26" s="49"/>
      <c r="GK26" s="49"/>
      <c r="GL26" s="49"/>
      <c r="GM26" s="49"/>
      <c r="GN26" s="49"/>
      <c r="GO26" s="49"/>
      <c r="GP26" s="49"/>
      <c r="GQ26" s="49"/>
      <c r="GR26" s="49"/>
      <c r="GS26" s="49"/>
      <c r="GT26" s="49"/>
      <c r="GU26" s="49"/>
      <c r="GV26" s="49"/>
      <c r="GW26" s="49"/>
      <c r="GX26" s="49"/>
      <c r="GY26" s="49"/>
      <c r="GZ26" s="49"/>
      <c r="HA26" s="49"/>
      <c r="HB26" s="49"/>
      <c r="HC26" s="49"/>
      <c r="HD26" s="49"/>
      <c r="HE26" s="49"/>
      <c r="HF26" s="49"/>
      <c r="HG26" s="49"/>
      <c r="HH26" s="49"/>
      <c r="HI26" s="49"/>
      <c r="HJ26" s="49"/>
      <c r="HK26" s="49"/>
      <c r="HL26" s="49"/>
      <c r="HM26" s="49"/>
      <c r="HN26" s="49"/>
      <c r="HO26" s="49"/>
      <c r="HP26" s="49"/>
      <c r="HQ26" s="49"/>
      <c r="HR26" s="49"/>
      <c r="HS26" s="49"/>
      <c r="HT26" s="49"/>
      <c r="HU26" s="49"/>
      <c r="HV26" s="49"/>
      <c r="HW26" s="49"/>
      <c r="HX26" s="49"/>
      <c r="HY26" s="49"/>
      <c r="HZ26" s="49"/>
    </row>
    <row r="27" spans="1:234" ht="17.5" x14ac:dyDescent="0.45">
      <c r="A27" s="270" t="s">
        <v>61</v>
      </c>
      <c r="B27" s="281">
        <v>3180</v>
      </c>
      <c r="C27" s="281"/>
      <c r="D27" s="281">
        <v>1413</v>
      </c>
      <c r="E27" s="281">
        <f>(6500/7700)*7939</f>
        <v>6701.7532467532465</v>
      </c>
      <c r="F27" s="281">
        <f>(500/7900)*395</f>
        <v>25</v>
      </c>
      <c r="G27" s="281">
        <f t="shared" si="0"/>
        <v>6726.7532467532465</v>
      </c>
      <c r="H27" s="283">
        <v>0</v>
      </c>
      <c r="I27" s="283">
        <v>0</v>
      </c>
      <c r="J27" s="283">
        <f>Table26[[#This Row],[
FRIANT-KERN CANAL -KAWEAH DELTA WCD   1/
CLASS 1]]+Table26[[#This Row],[
FRIANT-KERN CANAL -KAWEAH DELTA WCD   1/
CLASS 2]]</f>
        <v>0</v>
      </c>
      <c r="K27" s="63">
        <f t="shared" si="1"/>
        <v>11294.753246753247</v>
      </c>
      <c r="L27" s="63"/>
      <c r="M27" s="63">
        <f t="shared" si="2"/>
        <v>25</v>
      </c>
      <c r="N27" s="79"/>
      <c r="O27" s="48"/>
      <c r="P27" s="79"/>
      <c r="Q27" s="48"/>
      <c r="R27" s="79"/>
      <c r="S27" s="48"/>
      <c r="T27" s="91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  <c r="GD27" s="49"/>
      <c r="GE27" s="49"/>
      <c r="GF27" s="49"/>
      <c r="GG27" s="49"/>
      <c r="GH27" s="49"/>
      <c r="GI27" s="49"/>
      <c r="GJ27" s="49"/>
      <c r="GK27" s="49"/>
      <c r="GL27" s="49"/>
      <c r="GM27" s="49"/>
      <c r="GN27" s="49"/>
      <c r="GO27" s="49"/>
      <c r="GP27" s="49"/>
      <c r="GQ27" s="49"/>
      <c r="GR27" s="49"/>
      <c r="GS27" s="49"/>
      <c r="GT27" s="49"/>
      <c r="GU27" s="49"/>
      <c r="GV27" s="49"/>
      <c r="GW27" s="49"/>
      <c r="GX27" s="49"/>
      <c r="GY27" s="49"/>
      <c r="GZ27" s="49"/>
      <c r="HA27" s="49"/>
      <c r="HB27" s="49"/>
      <c r="HC27" s="49"/>
      <c r="HD27" s="49"/>
      <c r="HE27" s="49"/>
      <c r="HF27" s="49"/>
      <c r="HG27" s="49"/>
      <c r="HH27" s="49"/>
      <c r="HI27" s="49"/>
      <c r="HJ27" s="49"/>
      <c r="HK27" s="49"/>
      <c r="HL27" s="49"/>
      <c r="HM27" s="49"/>
      <c r="HN27" s="49"/>
      <c r="HO27" s="49"/>
      <c r="HP27" s="49"/>
      <c r="HQ27" s="49"/>
      <c r="HR27" s="49"/>
      <c r="HS27" s="49"/>
      <c r="HT27" s="49"/>
      <c r="HU27" s="49"/>
      <c r="HV27" s="49"/>
      <c r="HW27" s="49"/>
      <c r="HX27" s="49"/>
      <c r="HY27" s="49"/>
      <c r="HZ27" s="49"/>
    </row>
    <row r="28" spans="1:234" ht="17.5" x14ac:dyDescent="0.45">
      <c r="A28" s="270" t="s">
        <v>62</v>
      </c>
      <c r="B28" s="281">
        <v>3855</v>
      </c>
      <c r="C28" s="281"/>
      <c r="D28" s="281">
        <v>1156</v>
      </c>
      <c r="E28" s="281">
        <f>(6500/7700)*7874</f>
        <v>6646.8831168831166</v>
      </c>
      <c r="F28" s="281">
        <f>(500/7900)*722</f>
        <v>45.696202531645575</v>
      </c>
      <c r="G28" s="281">
        <f t="shared" si="0"/>
        <v>6692.5793194147618</v>
      </c>
      <c r="H28" s="283">
        <v>0</v>
      </c>
      <c r="I28" s="283">
        <v>0</v>
      </c>
      <c r="J28" s="283">
        <f>Table26[[#This Row],[
FRIANT-KERN CANAL -KAWEAH DELTA WCD   1/
CLASS 1]]+Table26[[#This Row],[
FRIANT-KERN CANAL -KAWEAH DELTA WCD   1/
CLASS 2]]</f>
        <v>0</v>
      </c>
      <c r="K28" s="63">
        <f t="shared" si="1"/>
        <v>11657.883116883117</v>
      </c>
      <c r="L28" s="63"/>
      <c r="M28" s="63">
        <f t="shared" si="2"/>
        <v>45.696202531645575</v>
      </c>
      <c r="N28" s="79"/>
      <c r="O28" s="48"/>
      <c r="P28" s="79"/>
      <c r="Q28" s="48"/>
      <c r="R28" s="79"/>
      <c r="S28" s="48"/>
      <c r="T28" s="91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  <c r="DQ28" s="49"/>
      <c r="DR28" s="49"/>
      <c r="DS28" s="49"/>
      <c r="DT28" s="49"/>
      <c r="DU28" s="49"/>
      <c r="DV28" s="49"/>
      <c r="DW28" s="49"/>
      <c r="DX28" s="49"/>
      <c r="DY28" s="49"/>
      <c r="DZ28" s="49"/>
      <c r="EA28" s="49"/>
      <c r="EB28" s="49"/>
      <c r="EC28" s="49"/>
      <c r="ED28" s="49"/>
      <c r="EE28" s="49"/>
      <c r="EF28" s="49"/>
      <c r="EG28" s="49"/>
      <c r="EH28" s="49"/>
      <c r="EI28" s="49"/>
      <c r="EJ28" s="49"/>
      <c r="EK28" s="49"/>
      <c r="EL28" s="49"/>
      <c r="EM28" s="49"/>
      <c r="EN28" s="49"/>
      <c r="EO28" s="49"/>
      <c r="EP28" s="49"/>
      <c r="EQ28" s="49"/>
      <c r="ER28" s="49"/>
      <c r="ES28" s="49"/>
      <c r="ET28" s="49"/>
      <c r="EU28" s="49"/>
      <c r="EV28" s="49"/>
      <c r="EW28" s="49"/>
      <c r="EX28" s="49"/>
      <c r="EY28" s="49"/>
      <c r="EZ28" s="49"/>
      <c r="FA28" s="49"/>
      <c r="FB28" s="49"/>
      <c r="FC28" s="49"/>
      <c r="FD28" s="49"/>
      <c r="FE28" s="49"/>
      <c r="FF28" s="49"/>
      <c r="FG28" s="49"/>
      <c r="FH28" s="49"/>
      <c r="FI28" s="49"/>
      <c r="FJ28" s="49"/>
      <c r="FK28" s="49"/>
      <c r="FL28" s="49"/>
      <c r="FM28" s="49"/>
      <c r="FN28" s="49"/>
      <c r="FO28" s="49"/>
      <c r="FP28" s="49"/>
      <c r="FQ28" s="49"/>
      <c r="FR28" s="49"/>
      <c r="FS28" s="49"/>
      <c r="FT28" s="49"/>
      <c r="FU28" s="49"/>
      <c r="FV28" s="49"/>
      <c r="FW28" s="49"/>
      <c r="FX28" s="49"/>
      <c r="FY28" s="49"/>
      <c r="FZ28" s="49"/>
      <c r="GA28" s="49"/>
      <c r="GB28" s="49"/>
      <c r="GC28" s="49"/>
      <c r="GD28" s="49"/>
      <c r="GE28" s="49"/>
      <c r="GF28" s="49"/>
      <c r="GG28" s="49"/>
      <c r="GH28" s="49"/>
      <c r="GI28" s="49"/>
      <c r="GJ28" s="49"/>
      <c r="GK28" s="49"/>
      <c r="GL28" s="49"/>
      <c r="GM28" s="49"/>
      <c r="GN28" s="49"/>
      <c r="GO28" s="49"/>
      <c r="GP28" s="49"/>
      <c r="GQ28" s="49"/>
      <c r="GR28" s="49"/>
      <c r="GS28" s="49"/>
      <c r="GT28" s="49"/>
      <c r="GU28" s="49"/>
      <c r="GV28" s="49"/>
      <c r="GW28" s="49"/>
      <c r="GX28" s="49"/>
      <c r="GY28" s="49"/>
      <c r="GZ28" s="49"/>
      <c r="HA28" s="49"/>
      <c r="HB28" s="49"/>
      <c r="HC28" s="49"/>
      <c r="HD28" s="49"/>
      <c r="HE28" s="49"/>
      <c r="HF28" s="49"/>
      <c r="HG28" s="49"/>
      <c r="HH28" s="49"/>
      <c r="HI28" s="49"/>
      <c r="HJ28" s="49"/>
      <c r="HK28" s="49"/>
      <c r="HL28" s="49"/>
      <c r="HM28" s="49"/>
      <c r="HN28" s="49"/>
      <c r="HO28" s="49"/>
      <c r="HP28" s="49"/>
      <c r="HQ28" s="49"/>
      <c r="HR28" s="49"/>
      <c r="HS28" s="49"/>
      <c r="HT28" s="49"/>
      <c r="HU28" s="49"/>
      <c r="HV28" s="49"/>
      <c r="HW28" s="49"/>
      <c r="HX28" s="49"/>
      <c r="HY28" s="49"/>
      <c r="HZ28" s="49"/>
    </row>
    <row r="29" spans="1:234" ht="17.5" x14ac:dyDescent="0.45">
      <c r="A29" s="270" t="s">
        <v>63</v>
      </c>
      <c r="B29" s="281">
        <v>3413</v>
      </c>
      <c r="C29" s="281"/>
      <c r="D29" s="281">
        <v>1276</v>
      </c>
      <c r="E29" s="281">
        <f>(6500/7700)*7931</f>
        <v>6695</v>
      </c>
      <c r="F29" s="281">
        <f>(500/7900)*4177</f>
        <v>264.36708860759495</v>
      </c>
      <c r="G29" s="281">
        <f t="shared" si="0"/>
        <v>6959.3670886075952</v>
      </c>
      <c r="H29" s="283">
        <v>0</v>
      </c>
      <c r="I29" s="283">
        <v>0</v>
      </c>
      <c r="J29" s="283">
        <f>Table26[[#This Row],[
FRIANT-KERN CANAL -KAWEAH DELTA WCD   1/
CLASS 1]]+Table26[[#This Row],[
FRIANT-KERN CANAL -KAWEAH DELTA WCD   1/
CLASS 2]]</f>
        <v>0</v>
      </c>
      <c r="K29" s="63">
        <f t="shared" si="1"/>
        <v>11384</v>
      </c>
      <c r="L29" s="63"/>
      <c r="M29" s="63">
        <f t="shared" si="2"/>
        <v>264.36708860759495</v>
      </c>
      <c r="N29" s="79"/>
      <c r="O29" s="48"/>
      <c r="P29" s="79"/>
      <c r="Q29" s="48"/>
      <c r="R29" s="79"/>
      <c r="S29" s="48"/>
      <c r="T29" s="91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  <c r="EC29" s="49"/>
      <c r="ED29" s="49"/>
      <c r="EE29" s="49"/>
      <c r="EF29" s="49"/>
      <c r="EG29" s="49"/>
      <c r="EH29" s="49"/>
      <c r="EI29" s="49"/>
      <c r="EJ29" s="49"/>
      <c r="EK29" s="49"/>
      <c r="EL29" s="49"/>
      <c r="EM29" s="49"/>
      <c r="EN29" s="49"/>
      <c r="EO29" s="49"/>
      <c r="EP29" s="49"/>
      <c r="EQ29" s="49"/>
      <c r="ER29" s="49"/>
      <c r="ES29" s="49"/>
      <c r="ET29" s="49"/>
      <c r="EU29" s="49"/>
      <c r="EV29" s="49"/>
      <c r="EW29" s="49"/>
      <c r="EX29" s="49"/>
      <c r="EY29" s="49"/>
      <c r="EZ29" s="49"/>
      <c r="FA29" s="49"/>
      <c r="FB29" s="49"/>
      <c r="FC29" s="49"/>
      <c r="FD29" s="49"/>
      <c r="FE29" s="49"/>
      <c r="FF29" s="49"/>
      <c r="FG29" s="49"/>
      <c r="FH29" s="49"/>
      <c r="FI29" s="49"/>
      <c r="FJ29" s="49"/>
      <c r="FK29" s="49"/>
      <c r="FL29" s="49"/>
      <c r="FM29" s="49"/>
      <c r="FN29" s="49"/>
      <c r="FO29" s="49"/>
      <c r="FP29" s="49"/>
      <c r="FQ29" s="49"/>
      <c r="FR29" s="49"/>
      <c r="FS29" s="49"/>
      <c r="FT29" s="49"/>
      <c r="FU29" s="49"/>
      <c r="FV29" s="49"/>
      <c r="FW29" s="49"/>
      <c r="FX29" s="49"/>
      <c r="FY29" s="49"/>
      <c r="FZ29" s="49"/>
      <c r="GA29" s="49"/>
      <c r="GB29" s="49"/>
      <c r="GC29" s="49"/>
      <c r="GD29" s="49"/>
      <c r="GE29" s="49"/>
      <c r="GF29" s="49"/>
      <c r="GG29" s="49"/>
      <c r="GH29" s="49"/>
      <c r="GI29" s="49"/>
      <c r="GJ29" s="49"/>
      <c r="GK29" s="49"/>
      <c r="GL29" s="49"/>
      <c r="GM29" s="49"/>
      <c r="GN29" s="49"/>
      <c r="GO29" s="49"/>
      <c r="GP29" s="49"/>
      <c r="GQ29" s="49"/>
      <c r="GR29" s="49"/>
      <c r="GS29" s="49"/>
      <c r="GT29" s="49"/>
      <c r="GU29" s="49"/>
      <c r="GV29" s="49"/>
      <c r="GW29" s="49"/>
      <c r="GX29" s="49"/>
      <c r="GY29" s="49"/>
      <c r="GZ29" s="49"/>
      <c r="HA29" s="49"/>
      <c r="HB29" s="49"/>
      <c r="HC29" s="49"/>
      <c r="HD29" s="49"/>
      <c r="HE29" s="49"/>
      <c r="HF29" s="49"/>
      <c r="HG29" s="49"/>
      <c r="HH29" s="49"/>
      <c r="HI29" s="49"/>
      <c r="HJ29" s="49"/>
      <c r="HK29" s="49"/>
      <c r="HL29" s="49"/>
      <c r="HM29" s="49"/>
      <c r="HN29" s="49"/>
      <c r="HO29" s="49"/>
      <c r="HP29" s="49"/>
      <c r="HQ29" s="49"/>
      <c r="HR29" s="49"/>
      <c r="HS29" s="49"/>
      <c r="HT29" s="49"/>
      <c r="HU29" s="49"/>
      <c r="HV29" s="49"/>
      <c r="HW29" s="49"/>
      <c r="HX29" s="49"/>
      <c r="HY29" s="49"/>
      <c r="HZ29" s="49"/>
    </row>
    <row r="30" spans="1:234" ht="17.5" x14ac:dyDescent="0.45">
      <c r="A30" s="270" t="s">
        <v>64</v>
      </c>
      <c r="B30" s="281">
        <v>4077</v>
      </c>
      <c r="C30" s="281"/>
      <c r="D30" s="281">
        <v>1084</v>
      </c>
      <c r="E30" s="281">
        <f>(6500/7700)*6917</f>
        <v>5839.0259740259735</v>
      </c>
      <c r="F30" s="281">
        <f>(500/7900)*632</f>
        <v>40</v>
      </c>
      <c r="G30" s="281">
        <f t="shared" si="0"/>
        <v>5879.0259740259735</v>
      </c>
      <c r="H30" s="283">
        <v>0</v>
      </c>
      <c r="I30" s="283">
        <v>0</v>
      </c>
      <c r="J30" s="283">
        <f>Table26[[#This Row],[
FRIANT-KERN CANAL -KAWEAH DELTA WCD   1/
CLASS 1]]+Table26[[#This Row],[
FRIANT-KERN CANAL -KAWEAH DELTA WCD   1/
CLASS 2]]</f>
        <v>0</v>
      </c>
      <c r="K30" s="63">
        <f t="shared" si="1"/>
        <v>11000.025974025973</v>
      </c>
      <c r="L30" s="57"/>
      <c r="M30" s="63">
        <f t="shared" si="2"/>
        <v>40</v>
      </c>
      <c r="N30" s="48"/>
      <c r="O30" s="48"/>
      <c r="P30" s="48"/>
      <c r="Q30" s="48"/>
      <c r="R30" s="48"/>
      <c r="S30" s="48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49"/>
      <c r="CX30" s="49"/>
      <c r="CY30" s="49"/>
      <c r="CZ30" s="49"/>
      <c r="DA30" s="49"/>
      <c r="DB30" s="49"/>
      <c r="DC30" s="49"/>
      <c r="DD30" s="49"/>
      <c r="DE30" s="49"/>
      <c r="DF30" s="49"/>
      <c r="DG30" s="49"/>
      <c r="DH30" s="49"/>
      <c r="DI30" s="49"/>
      <c r="DJ30" s="49"/>
      <c r="DK30" s="49"/>
      <c r="DL30" s="49"/>
      <c r="DM30" s="49"/>
      <c r="DN30" s="49"/>
      <c r="DO30" s="49"/>
      <c r="DP30" s="49"/>
      <c r="DQ30" s="49"/>
      <c r="DR30" s="49"/>
      <c r="DS30" s="49"/>
      <c r="DT30" s="49"/>
      <c r="DU30" s="49"/>
      <c r="DV30" s="49"/>
      <c r="DW30" s="49"/>
      <c r="DX30" s="49"/>
      <c r="DY30" s="49"/>
      <c r="DZ30" s="49"/>
      <c r="EA30" s="49"/>
      <c r="EB30" s="49"/>
      <c r="EC30" s="49"/>
      <c r="ED30" s="49"/>
      <c r="EE30" s="49"/>
      <c r="EF30" s="49"/>
      <c r="EG30" s="49"/>
      <c r="EH30" s="49"/>
      <c r="EI30" s="49"/>
      <c r="EJ30" s="49"/>
      <c r="EK30" s="49"/>
      <c r="EL30" s="49"/>
      <c r="EM30" s="49"/>
      <c r="EN30" s="49"/>
      <c r="EO30" s="49"/>
      <c r="EP30" s="49"/>
      <c r="EQ30" s="49"/>
      <c r="ER30" s="49"/>
      <c r="ES30" s="49"/>
      <c r="ET30" s="49"/>
      <c r="EU30" s="49"/>
      <c r="EV30" s="49"/>
      <c r="EW30" s="49"/>
      <c r="EX30" s="49"/>
      <c r="EY30" s="49"/>
      <c r="EZ30" s="49"/>
      <c r="FA30" s="49"/>
      <c r="FB30" s="49"/>
      <c r="FC30" s="49"/>
      <c r="FD30" s="49"/>
      <c r="FE30" s="49"/>
      <c r="FF30" s="49"/>
      <c r="FG30" s="49"/>
      <c r="FH30" s="49"/>
      <c r="FI30" s="49"/>
      <c r="FJ30" s="49"/>
      <c r="FK30" s="49"/>
      <c r="FL30" s="49"/>
      <c r="FM30" s="49"/>
      <c r="FN30" s="49"/>
      <c r="FO30" s="49"/>
      <c r="FP30" s="49"/>
      <c r="FQ30" s="49"/>
      <c r="FR30" s="49"/>
      <c r="FS30" s="49"/>
      <c r="FT30" s="49"/>
      <c r="FU30" s="49"/>
      <c r="FV30" s="49"/>
      <c r="FW30" s="49"/>
      <c r="FX30" s="49"/>
      <c r="FY30" s="49"/>
      <c r="FZ30" s="49"/>
      <c r="GA30" s="49"/>
      <c r="GB30" s="49"/>
      <c r="GC30" s="49"/>
      <c r="GD30" s="49"/>
      <c r="GE30" s="49"/>
      <c r="GF30" s="49"/>
      <c r="GG30" s="49"/>
      <c r="GH30" s="49"/>
      <c r="GI30" s="49"/>
      <c r="GJ30" s="49"/>
      <c r="GK30" s="49"/>
      <c r="GL30" s="49"/>
      <c r="GM30" s="49"/>
      <c r="GN30" s="49"/>
      <c r="GO30" s="49"/>
      <c r="GP30" s="49"/>
      <c r="GQ30" s="49"/>
      <c r="GR30" s="49"/>
      <c r="GS30" s="49"/>
      <c r="GT30" s="49"/>
      <c r="GU30" s="49"/>
      <c r="GV30" s="49"/>
      <c r="GW30" s="49"/>
      <c r="GX30" s="49"/>
      <c r="GY30" s="49"/>
      <c r="GZ30" s="49"/>
      <c r="HA30" s="49"/>
      <c r="HB30" s="49"/>
      <c r="HC30" s="49"/>
      <c r="HD30" s="49"/>
      <c r="HE30" s="49"/>
      <c r="HF30" s="49"/>
      <c r="HG30" s="49"/>
      <c r="HH30" s="49"/>
      <c r="HI30" s="49"/>
      <c r="HJ30" s="49"/>
      <c r="HK30" s="49"/>
      <c r="HL30" s="49"/>
      <c r="HM30" s="49"/>
      <c r="HN30" s="49"/>
      <c r="HO30" s="49"/>
      <c r="HP30" s="49"/>
      <c r="HQ30" s="49"/>
      <c r="HR30" s="49"/>
      <c r="HS30" s="49"/>
      <c r="HT30" s="49"/>
      <c r="HU30" s="49"/>
      <c r="HV30" s="49"/>
      <c r="HW30" s="49"/>
      <c r="HX30" s="49"/>
      <c r="HY30" s="49"/>
      <c r="HZ30" s="49"/>
    </row>
    <row r="31" spans="1:234" ht="17.5" x14ac:dyDescent="0.45">
      <c r="A31" s="270" t="s">
        <v>65</v>
      </c>
      <c r="B31" s="281">
        <v>3304</v>
      </c>
      <c r="C31" s="281"/>
      <c r="D31" s="281">
        <v>1057</v>
      </c>
      <c r="E31" s="281">
        <f>(6500/7700)*9724</f>
        <v>8208.5714285714275</v>
      </c>
      <c r="F31" s="281">
        <f>(500/7900)*3743</f>
        <v>236.8987341772152</v>
      </c>
      <c r="G31" s="281">
        <f t="shared" si="0"/>
        <v>8445.4701627486429</v>
      </c>
      <c r="H31" s="283">
        <v>0</v>
      </c>
      <c r="I31" s="283">
        <v>0</v>
      </c>
      <c r="J31" s="283">
        <f>Table26[[#This Row],[
FRIANT-KERN CANAL -KAWEAH DELTA WCD   1/
CLASS 1]]+Table26[[#This Row],[
FRIANT-KERN CANAL -KAWEAH DELTA WCD   1/
CLASS 2]]</f>
        <v>0</v>
      </c>
      <c r="K31" s="63">
        <f t="shared" si="1"/>
        <v>12569.571428571428</v>
      </c>
      <c r="L31" s="57"/>
      <c r="M31" s="63">
        <f t="shared" si="2"/>
        <v>236.8987341772152</v>
      </c>
      <c r="N31" s="48"/>
      <c r="O31" s="48"/>
      <c r="P31" s="48"/>
      <c r="Q31" s="48"/>
      <c r="R31" s="48"/>
      <c r="S31" s="48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  <c r="AT31" s="49"/>
      <c r="AU31" s="49"/>
      <c r="AV31" s="49"/>
      <c r="AW31" s="49"/>
      <c r="AX31" s="49"/>
      <c r="AY31" s="49"/>
      <c r="AZ31" s="49"/>
      <c r="BA31" s="49"/>
      <c r="BB31" s="49"/>
      <c r="BC31" s="49"/>
      <c r="BD31" s="49"/>
      <c r="BE31" s="49"/>
      <c r="BF31" s="49"/>
      <c r="BG31" s="49"/>
      <c r="BH31" s="49"/>
      <c r="BI31" s="49"/>
      <c r="BJ31" s="49"/>
      <c r="BK31" s="49"/>
      <c r="BL31" s="49"/>
      <c r="BM31" s="49"/>
      <c r="BN31" s="49"/>
      <c r="BO31" s="49"/>
      <c r="BP31" s="49"/>
      <c r="BQ31" s="49"/>
      <c r="BR31" s="49"/>
      <c r="BS31" s="49"/>
      <c r="BT31" s="49"/>
      <c r="BU31" s="49"/>
      <c r="BV31" s="49"/>
      <c r="BW31" s="49"/>
      <c r="BX31" s="49"/>
      <c r="BY31" s="49"/>
      <c r="BZ31" s="49"/>
      <c r="CA31" s="49"/>
      <c r="CB31" s="49"/>
      <c r="CC31" s="49"/>
      <c r="CD31" s="49"/>
      <c r="CE31" s="49"/>
      <c r="CF31" s="49"/>
      <c r="CG31" s="49"/>
      <c r="CH31" s="49"/>
      <c r="CI31" s="49"/>
      <c r="CJ31" s="49"/>
      <c r="CK31" s="49"/>
      <c r="CL31" s="49"/>
      <c r="CM31" s="49"/>
      <c r="CN31" s="49"/>
      <c r="CO31" s="49"/>
      <c r="CP31" s="49"/>
      <c r="CQ31" s="49"/>
      <c r="CR31" s="49"/>
      <c r="CS31" s="49"/>
      <c r="CT31" s="49"/>
      <c r="CU31" s="49"/>
      <c r="CV31" s="49"/>
      <c r="CW31" s="49"/>
      <c r="CX31" s="49"/>
      <c r="CY31" s="49"/>
      <c r="CZ31" s="49"/>
      <c r="DA31" s="49"/>
      <c r="DB31" s="49"/>
      <c r="DC31" s="49"/>
      <c r="DD31" s="49"/>
      <c r="DE31" s="49"/>
      <c r="DF31" s="49"/>
      <c r="DG31" s="49"/>
      <c r="DH31" s="49"/>
      <c r="DI31" s="49"/>
      <c r="DJ31" s="49"/>
      <c r="DK31" s="49"/>
      <c r="DL31" s="49"/>
      <c r="DM31" s="49"/>
      <c r="DN31" s="49"/>
      <c r="DO31" s="49"/>
      <c r="DP31" s="49"/>
      <c r="DQ31" s="49"/>
      <c r="DR31" s="49"/>
      <c r="DS31" s="49"/>
      <c r="DT31" s="49"/>
      <c r="DU31" s="49"/>
      <c r="DV31" s="49"/>
      <c r="DW31" s="49"/>
      <c r="DX31" s="49"/>
      <c r="DY31" s="49"/>
      <c r="DZ31" s="49"/>
      <c r="EA31" s="49"/>
      <c r="EB31" s="49"/>
      <c r="EC31" s="49"/>
      <c r="ED31" s="49"/>
      <c r="EE31" s="49"/>
      <c r="EF31" s="49"/>
      <c r="EG31" s="49"/>
      <c r="EH31" s="49"/>
      <c r="EI31" s="49"/>
      <c r="EJ31" s="49"/>
      <c r="EK31" s="49"/>
      <c r="EL31" s="49"/>
      <c r="EM31" s="49"/>
      <c r="EN31" s="49"/>
      <c r="EO31" s="49"/>
      <c r="EP31" s="49"/>
      <c r="EQ31" s="49"/>
      <c r="ER31" s="49"/>
      <c r="ES31" s="49"/>
      <c r="ET31" s="49"/>
      <c r="EU31" s="49"/>
      <c r="EV31" s="49"/>
      <c r="EW31" s="49"/>
      <c r="EX31" s="49"/>
      <c r="EY31" s="49"/>
      <c r="EZ31" s="49"/>
      <c r="FA31" s="49"/>
      <c r="FB31" s="49"/>
      <c r="FC31" s="49"/>
      <c r="FD31" s="49"/>
      <c r="FE31" s="49"/>
      <c r="FF31" s="49"/>
      <c r="FG31" s="49"/>
      <c r="FH31" s="49"/>
      <c r="FI31" s="49"/>
      <c r="FJ31" s="49"/>
      <c r="FK31" s="49"/>
      <c r="FL31" s="49"/>
      <c r="FM31" s="49"/>
      <c r="FN31" s="49"/>
      <c r="FO31" s="49"/>
      <c r="FP31" s="49"/>
      <c r="FQ31" s="49"/>
      <c r="FR31" s="49"/>
      <c r="FS31" s="49"/>
      <c r="FT31" s="49"/>
      <c r="FU31" s="49"/>
      <c r="FV31" s="49"/>
      <c r="FW31" s="49"/>
      <c r="FX31" s="49"/>
      <c r="FY31" s="49"/>
      <c r="FZ31" s="49"/>
      <c r="GA31" s="49"/>
      <c r="GB31" s="49"/>
      <c r="GC31" s="49"/>
      <c r="GD31" s="49"/>
      <c r="GE31" s="49"/>
      <c r="GF31" s="49"/>
      <c r="GG31" s="49"/>
      <c r="GH31" s="49"/>
      <c r="GI31" s="49"/>
      <c r="GJ31" s="49"/>
      <c r="GK31" s="49"/>
      <c r="GL31" s="49"/>
      <c r="GM31" s="49"/>
      <c r="GN31" s="49"/>
      <c r="GO31" s="49"/>
      <c r="GP31" s="49"/>
      <c r="GQ31" s="49"/>
      <c r="GR31" s="49"/>
      <c r="GS31" s="49"/>
      <c r="GT31" s="49"/>
      <c r="GU31" s="49"/>
      <c r="GV31" s="49"/>
      <c r="GW31" s="49"/>
      <c r="GX31" s="49"/>
      <c r="GY31" s="49"/>
      <c r="GZ31" s="49"/>
      <c r="HA31" s="49"/>
      <c r="HB31" s="49"/>
      <c r="HC31" s="49"/>
      <c r="HD31" s="49"/>
      <c r="HE31" s="49"/>
      <c r="HF31" s="49"/>
      <c r="HG31" s="49"/>
      <c r="HH31" s="49"/>
      <c r="HI31" s="49"/>
      <c r="HJ31" s="49"/>
      <c r="HK31" s="49"/>
      <c r="HL31" s="49"/>
      <c r="HM31" s="49"/>
      <c r="HN31" s="49"/>
      <c r="HO31" s="49"/>
      <c r="HP31" s="49"/>
      <c r="HQ31" s="49"/>
      <c r="HR31" s="49"/>
      <c r="HS31" s="49"/>
      <c r="HT31" s="49"/>
      <c r="HU31" s="49"/>
      <c r="HV31" s="49"/>
      <c r="HW31" s="49"/>
      <c r="HX31" s="49"/>
      <c r="HY31" s="49"/>
      <c r="HZ31" s="49"/>
    </row>
    <row r="32" spans="1:234" ht="17.5" x14ac:dyDescent="0.45">
      <c r="A32" s="270" t="s">
        <v>66</v>
      </c>
      <c r="B32" s="281">
        <v>3521</v>
      </c>
      <c r="C32" s="281"/>
      <c r="D32" s="281">
        <v>1071</v>
      </c>
      <c r="E32" s="281">
        <f>(6500/7700)*5098</f>
        <v>4303.5064935064929</v>
      </c>
      <c r="F32" s="281">
        <f>(500/7900)*4422</f>
        <v>279.87341772151899</v>
      </c>
      <c r="G32" s="281">
        <f t="shared" si="0"/>
        <v>4583.3799112280121</v>
      </c>
      <c r="H32" s="283">
        <v>0</v>
      </c>
      <c r="I32" s="283">
        <v>0</v>
      </c>
      <c r="J32" s="283">
        <f>Table26[[#This Row],[
FRIANT-KERN CANAL -KAWEAH DELTA WCD   1/
CLASS 1]]+Table26[[#This Row],[
FRIANT-KERN CANAL -KAWEAH DELTA WCD   1/
CLASS 2]]</f>
        <v>0</v>
      </c>
      <c r="K32" s="63">
        <f t="shared" si="1"/>
        <v>8895.5064935064929</v>
      </c>
      <c r="L32" s="57"/>
      <c r="M32" s="63">
        <f t="shared" si="2"/>
        <v>279.87341772151899</v>
      </c>
      <c r="N32" s="48"/>
      <c r="O32" s="48"/>
      <c r="P32" s="48"/>
      <c r="Q32" s="48"/>
      <c r="R32" s="48"/>
      <c r="S32" s="48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  <c r="DQ32" s="49"/>
      <c r="DR32" s="49"/>
      <c r="DS32" s="49"/>
      <c r="DT32" s="49"/>
      <c r="DU32" s="49"/>
      <c r="DV32" s="49"/>
      <c r="DW32" s="49"/>
      <c r="DX32" s="49"/>
      <c r="DY32" s="49"/>
      <c r="DZ32" s="49"/>
      <c r="EA32" s="49"/>
      <c r="EB32" s="49"/>
      <c r="EC32" s="49"/>
      <c r="ED32" s="49"/>
      <c r="EE32" s="49"/>
      <c r="EF32" s="49"/>
      <c r="EG32" s="49"/>
      <c r="EH32" s="49"/>
      <c r="EI32" s="49"/>
      <c r="EJ32" s="49"/>
      <c r="EK32" s="49"/>
      <c r="EL32" s="49"/>
      <c r="EM32" s="49"/>
      <c r="EN32" s="49"/>
      <c r="EO32" s="49"/>
      <c r="EP32" s="49"/>
      <c r="EQ32" s="49"/>
      <c r="ER32" s="49"/>
      <c r="ES32" s="49"/>
      <c r="ET32" s="49"/>
      <c r="EU32" s="49"/>
      <c r="EV32" s="49"/>
      <c r="EW32" s="49"/>
      <c r="EX32" s="49"/>
      <c r="EY32" s="49"/>
      <c r="EZ32" s="49"/>
      <c r="FA32" s="49"/>
      <c r="FB32" s="49"/>
      <c r="FC32" s="49"/>
      <c r="FD32" s="49"/>
      <c r="FE32" s="49"/>
      <c r="FF32" s="49"/>
      <c r="FG32" s="49"/>
      <c r="FH32" s="49"/>
      <c r="FI32" s="49"/>
      <c r="FJ32" s="49"/>
      <c r="FK32" s="49"/>
      <c r="FL32" s="49"/>
      <c r="FM32" s="49"/>
      <c r="FN32" s="49"/>
      <c r="FO32" s="49"/>
      <c r="FP32" s="49"/>
      <c r="FQ32" s="49"/>
      <c r="FR32" s="49"/>
      <c r="FS32" s="49"/>
      <c r="FT32" s="49"/>
      <c r="FU32" s="49"/>
      <c r="FV32" s="49"/>
      <c r="FW32" s="49"/>
      <c r="FX32" s="49"/>
      <c r="FY32" s="49"/>
      <c r="FZ32" s="49"/>
      <c r="GA32" s="49"/>
      <c r="GB32" s="49"/>
      <c r="GC32" s="49"/>
      <c r="GD32" s="49"/>
      <c r="GE32" s="49"/>
      <c r="GF32" s="49"/>
      <c r="GG32" s="49"/>
      <c r="GH32" s="49"/>
      <c r="GI32" s="49"/>
      <c r="GJ32" s="49"/>
      <c r="GK32" s="49"/>
      <c r="GL32" s="49"/>
      <c r="GM32" s="49"/>
      <c r="GN32" s="49"/>
      <c r="GO32" s="49"/>
      <c r="GP32" s="49"/>
      <c r="GQ32" s="49"/>
      <c r="GR32" s="49"/>
      <c r="GS32" s="49"/>
      <c r="GT32" s="49"/>
      <c r="GU32" s="49"/>
      <c r="GV32" s="49"/>
      <c r="GW32" s="49"/>
      <c r="GX32" s="49"/>
      <c r="GY32" s="49"/>
      <c r="GZ32" s="49"/>
      <c r="HA32" s="49"/>
      <c r="HB32" s="49"/>
      <c r="HC32" s="49"/>
      <c r="HD32" s="49"/>
      <c r="HE32" s="49"/>
      <c r="HF32" s="49"/>
      <c r="HG32" s="49"/>
      <c r="HH32" s="49"/>
      <c r="HI32" s="49"/>
      <c r="HJ32" s="49"/>
      <c r="HK32" s="49"/>
      <c r="HL32" s="49"/>
      <c r="HM32" s="49"/>
      <c r="HN32" s="49"/>
      <c r="HO32" s="49"/>
      <c r="HP32" s="49"/>
      <c r="HQ32" s="49"/>
      <c r="HR32" s="49"/>
      <c r="HS32" s="49"/>
      <c r="HT32" s="49"/>
      <c r="HU32" s="49"/>
      <c r="HV32" s="49"/>
      <c r="HW32" s="49"/>
      <c r="HX32" s="49"/>
      <c r="HY32" s="49"/>
      <c r="HZ32" s="49"/>
    </row>
    <row r="33" spans="1:234" ht="17.5" x14ac:dyDescent="0.45">
      <c r="A33" s="269" t="s">
        <v>67</v>
      </c>
      <c r="B33" s="281">
        <v>1747</v>
      </c>
      <c r="C33" s="281"/>
      <c r="D33" s="281">
        <v>1091</v>
      </c>
      <c r="E33" s="281">
        <f>(6500/7700)*6970</f>
        <v>5883.7662337662332</v>
      </c>
      <c r="F33" s="283">
        <f>(500/7900)*0</f>
        <v>0</v>
      </c>
      <c r="G33" s="281">
        <f t="shared" si="0"/>
        <v>5883.7662337662332</v>
      </c>
      <c r="H33" s="283">
        <v>0</v>
      </c>
      <c r="I33" s="283">
        <v>0</v>
      </c>
      <c r="J33" s="283">
        <f>Table26[[#This Row],[
FRIANT-KERN CANAL -KAWEAH DELTA WCD   1/
CLASS 1]]+Table26[[#This Row],[
FRIANT-KERN CANAL -KAWEAH DELTA WCD   1/
CLASS 2]]</f>
        <v>0</v>
      </c>
      <c r="K33" s="63">
        <f t="shared" si="1"/>
        <v>8721.7662337662332</v>
      </c>
      <c r="L33" s="57"/>
      <c r="M33" s="63">
        <f t="shared" si="2"/>
        <v>0</v>
      </c>
      <c r="N33" s="48"/>
      <c r="O33" s="48"/>
      <c r="P33" s="48"/>
      <c r="Q33" s="48"/>
      <c r="R33" s="48"/>
      <c r="S33" s="48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49"/>
      <c r="AW33" s="49"/>
      <c r="AX33" s="49"/>
      <c r="AY33" s="49"/>
      <c r="AZ33" s="49"/>
      <c r="BA33" s="49"/>
      <c r="BB33" s="49"/>
      <c r="BC33" s="49"/>
      <c r="BD33" s="49"/>
      <c r="BE33" s="49"/>
      <c r="BF33" s="49"/>
      <c r="BG33" s="49"/>
      <c r="BH33" s="49"/>
      <c r="BI33" s="49"/>
      <c r="BJ33" s="49"/>
      <c r="BK33" s="49"/>
      <c r="BL33" s="49"/>
      <c r="BM33" s="49"/>
      <c r="BN33" s="49"/>
      <c r="BO33" s="49"/>
      <c r="BP33" s="49"/>
      <c r="BQ33" s="49"/>
      <c r="BR33" s="49"/>
      <c r="BS33" s="49"/>
      <c r="BT33" s="49"/>
      <c r="BU33" s="49"/>
      <c r="BV33" s="49"/>
      <c r="BW33" s="49"/>
      <c r="BX33" s="49"/>
      <c r="BY33" s="49"/>
      <c r="BZ33" s="49"/>
      <c r="CA33" s="49"/>
      <c r="CB33" s="49"/>
      <c r="CC33" s="49"/>
      <c r="CD33" s="49"/>
      <c r="CE33" s="49"/>
      <c r="CF33" s="49"/>
      <c r="CG33" s="49"/>
      <c r="CH33" s="49"/>
      <c r="CI33" s="49"/>
      <c r="CJ33" s="49"/>
      <c r="CK33" s="49"/>
      <c r="CL33" s="49"/>
      <c r="CM33" s="49"/>
      <c r="CN33" s="49"/>
      <c r="CO33" s="49"/>
      <c r="CP33" s="49"/>
      <c r="CQ33" s="49"/>
      <c r="CR33" s="49"/>
      <c r="CS33" s="49"/>
      <c r="CT33" s="49"/>
      <c r="CU33" s="49"/>
      <c r="CV33" s="49"/>
      <c r="CW33" s="49"/>
      <c r="CX33" s="49"/>
      <c r="CY33" s="49"/>
      <c r="CZ33" s="49"/>
      <c r="DA33" s="49"/>
      <c r="DB33" s="49"/>
      <c r="DC33" s="49"/>
      <c r="DD33" s="49"/>
      <c r="DE33" s="49"/>
      <c r="DF33" s="49"/>
      <c r="DG33" s="49"/>
      <c r="DH33" s="49"/>
      <c r="DI33" s="49"/>
      <c r="DJ33" s="49"/>
      <c r="DK33" s="49"/>
      <c r="DL33" s="49"/>
      <c r="DM33" s="49"/>
      <c r="DN33" s="49"/>
      <c r="DO33" s="49"/>
      <c r="DP33" s="49"/>
      <c r="DQ33" s="49"/>
      <c r="DR33" s="49"/>
      <c r="DS33" s="49"/>
      <c r="DT33" s="49"/>
      <c r="DU33" s="49"/>
      <c r="DV33" s="49"/>
      <c r="DW33" s="49"/>
      <c r="DX33" s="49"/>
      <c r="DY33" s="49"/>
      <c r="DZ33" s="49"/>
      <c r="EA33" s="49"/>
      <c r="EB33" s="49"/>
      <c r="EC33" s="49"/>
      <c r="ED33" s="49"/>
      <c r="EE33" s="49"/>
      <c r="EF33" s="49"/>
      <c r="EG33" s="49"/>
      <c r="EH33" s="49"/>
      <c r="EI33" s="49"/>
      <c r="EJ33" s="49"/>
      <c r="EK33" s="49"/>
      <c r="EL33" s="49"/>
      <c r="EM33" s="49"/>
      <c r="EN33" s="49"/>
      <c r="EO33" s="49"/>
      <c r="EP33" s="49"/>
      <c r="EQ33" s="49"/>
      <c r="ER33" s="49"/>
      <c r="ES33" s="49"/>
      <c r="ET33" s="49"/>
      <c r="EU33" s="49"/>
      <c r="EV33" s="49"/>
      <c r="EW33" s="49"/>
      <c r="EX33" s="49"/>
      <c r="EY33" s="49"/>
      <c r="EZ33" s="49"/>
      <c r="FA33" s="49"/>
      <c r="FB33" s="49"/>
      <c r="FC33" s="49"/>
      <c r="FD33" s="49"/>
      <c r="FE33" s="49"/>
      <c r="FF33" s="49"/>
      <c r="FG33" s="49"/>
      <c r="FH33" s="49"/>
      <c r="FI33" s="49"/>
      <c r="FJ33" s="49"/>
      <c r="FK33" s="49"/>
      <c r="FL33" s="49"/>
      <c r="FM33" s="49"/>
      <c r="FN33" s="49"/>
      <c r="FO33" s="49"/>
      <c r="FP33" s="49"/>
      <c r="FQ33" s="49"/>
      <c r="FR33" s="49"/>
      <c r="FS33" s="49"/>
      <c r="FT33" s="49"/>
      <c r="FU33" s="49"/>
      <c r="FV33" s="49"/>
      <c r="FW33" s="49"/>
      <c r="FX33" s="49"/>
      <c r="FY33" s="49"/>
      <c r="FZ33" s="49"/>
      <c r="GA33" s="49"/>
      <c r="GB33" s="49"/>
      <c r="GC33" s="49"/>
      <c r="GD33" s="49"/>
      <c r="GE33" s="49"/>
      <c r="GF33" s="49"/>
      <c r="GG33" s="49"/>
      <c r="GH33" s="49"/>
      <c r="GI33" s="49"/>
      <c r="GJ33" s="49"/>
      <c r="GK33" s="49"/>
      <c r="GL33" s="49"/>
      <c r="GM33" s="49"/>
      <c r="GN33" s="49"/>
      <c r="GO33" s="49"/>
      <c r="GP33" s="49"/>
      <c r="GQ33" s="49"/>
      <c r="GR33" s="49"/>
      <c r="GS33" s="49"/>
      <c r="GT33" s="49"/>
      <c r="GU33" s="49"/>
      <c r="GV33" s="49"/>
      <c r="GW33" s="49"/>
      <c r="GX33" s="49"/>
      <c r="GY33" s="49"/>
      <c r="GZ33" s="49"/>
      <c r="HA33" s="49"/>
      <c r="HB33" s="49"/>
      <c r="HC33" s="49"/>
      <c r="HD33" s="49"/>
      <c r="HE33" s="49"/>
      <c r="HF33" s="49"/>
      <c r="HG33" s="49"/>
      <c r="HH33" s="49"/>
      <c r="HI33" s="49"/>
      <c r="HJ33" s="49"/>
      <c r="HK33" s="49"/>
      <c r="HL33" s="49"/>
      <c r="HM33" s="49"/>
      <c r="HN33" s="49"/>
      <c r="HO33" s="49"/>
      <c r="HP33" s="49"/>
      <c r="HQ33" s="49"/>
      <c r="HR33" s="49"/>
      <c r="HS33" s="49"/>
      <c r="HT33" s="49"/>
      <c r="HU33" s="49"/>
      <c r="HV33" s="49"/>
      <c r="HW33" s="49"/>
      <c r="HX33" s="49"/>
      <c r="HY33" s="49"/>
      <c r="HZ33" s="49"/>
    </row>
    <row r="34" spans="1:234" ht="17.5" x14ac:dyDescent="0.45">
      <c r="A34" s="269" t="s">
        <v>68</v>
      </c>
      <c r="B34" s="281">
        <v>2886</v>
      </c>
      <c r="C34" s="283">
        <v>0</v>
      </c>
      <c r="D34" s="281">
        <v>1038</v>
      </c>
      <c r="E34" s="281">
        <f>(6500/7700)*6021</f>
        <v>5082.6623376623374</v>
      </c>
      <c r="F34" s="281">
        <f>(500/7900)*395</f>
        <v>25</v>
      </c>
      <c r="G34" s="281">
        <f t="shared" si="0"/>
        <v>5107.6623376623374</v>
      </c>
      <c r="H34" s="283">
        <v>0</v>
      </c>
      <c r="I34" s="283">
        <v>0</v>
      </c>
      <c r="J34" s="283">
        <f>Table26[[#This Row],[
FRIANT-KERN CANAL -KAWEAH DELTA WCD   1/
CLASS 1]]+Table26[[#This Row],[
FRIANT-KERN CANAL -KAWEAH DELTA WCD   1/
CLASS 2]]</f>
        <v>0</v>
      </c>
      <c r="K34" s="63">
        <f t="shared" si="1"/>
        <v>9006.6623376623374</v>
      </c>
      <c r="L34" s="57"/>
      <c r="M34" s="63">
        <f t="shared" si="2"/>
        <v>25</v>
      </c>
      <c r="N34" s="48"/>
      <c r="O34" s="48"/>
      <c r="P34" s="48"/>
      <c r="Q34" s="48"/>
      <c r="R34" s="48"/>
      <c r="S34" s="48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/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/>
      <c r="BH34" s="49"/>
      <c r="BI34" s="49"/>
      <c r="BJ34" s="49"/>
      <c r="BK34" s="49"/>
      <c r="BL34" s="49"/>
      <c r="BM34" s="49"/>
      <c r="BN34" s="49"/>
      <c r="BO34" s="49"/>
      <c r="BP34" s="49"/>
      <c r="BQ34" s="49"/>
      <c r="BR34" s="49"/>
      <c r="BS34" s="49"/>
      <c r="BT34" s="49"/>
      <c r="BU34" s="49"/>
      <c r="BV34" s="49"/>
      <c r="BW34" s="49"/>
      <c r="BX34" s="49"/>
      <c r="BY34" s="49"/>
      <c r="BZ34" s="49"/>
      <c r="CA34" s="49"/>
      <c r="CB34" s="49"/>
      <c r="CC34" s="49"/>
      <c r="CD34" s="49"/>
      <c r="CE34" s="49"/>
      <c r="CF34" s="49"/>
      <c r="CG34" s="49"/>
      <c r="CH34" s="49"/>
      <c r="CI34" s="49"/>
      <c r="CJ34" s="49"/>
      <c r="CK34" s="49"/>
      <c r="CL34" s="49"/>
      <c r="CM34" s="49"/>
      <c r="CN34" s="49"/>
      <c r="CO34" s="49"/>
      <c r="CP34" s="49"/>
      <c r="CQ34" s="49"/>
      <c r="CR34" s="49"/>
      <c r="CS34" s="49"/>
      <c r="CT34" s="49"/>
      <c r="CU34" s="49"/>
      <c r="CV34" s="49"/>
      <c r="CW34" s="49"/>
      <c r="CX34" s="49"/>
      <c r="CY34" s="49"/>
      <c r="CZ34" s="49"/>
      <c r="DA34" s="49"/>
      <c r="DB34" s="49"/>
      <c r="DC34" s="49"/>
      <c r="DD34" s="49"/>
      <c r="DE34" s="49"/>
      <c r="DF34" s="49"/>
      <c r="DG34" s="49"/>
      <c r="DH34" s="49"/>
      <c r="DI34" s="49"/>
      <c r="DJ34" s="49"/>
      <c r="DK34" s="49"/>
      <c r="DL34" s="49"/>
      <c r="DM34" s="49"/>
      <c r="DN34" s="49"/>
      <c r="DO34" s="49"/>
      <c r="DP34" s="49"/>
      <c r="DQ34" s="49"/>
      <c r="DR34" s="49"/>
      <c r="DS34" s="49"/>
      <c r="DT34" s="49"/>
      <c r="DU34" s="49"/>
      <c r="DV34" s="49"/>
      <c r="DW34" s="49"/>
      <c r="DX34" s="49"/>
      <c r="DY34" s="49"/>
      <c r="DZ34" s="49"/>
      <c r="EA34" s="49"/>
      <c r="EB34" s="49"/>
      <c r="EC34" s="49"/>
      <c r="ED34" s="49"/>
      <c r="EE34" s="49"/>
      <c r="EF34" s="49"/>
      <c r="EG34" s="49"/>
      <c r="EH34" s="49"/>
      <c r="EI34" s="49"/>
      <c r="EJ34" s="49"/>
      <c r="EK34" s="49"/>
      <c r="EL34" s="49"/>
      <c r="EM34" s="49"/>
      <c r="EN34" s="49"/>
      <c r="EO34" s="49"/>
      <c r="EP34" s="49"/>
      <c r="EQ34" s="49"/>
      <c r="ER34" s="49"/>
      <c r="ES34" s="49"/>
      <c r="ET34" s="49"/>
      <c r="EU34" s="49"/>
      <c r="EV34" s="49"/>
      <c r="EW34" s="49"/>
      <c r="EX34" s="49"/>
      <c r="EY34" s="49"/>
      <c r="EZ34" s="49"/>
      <c r="FA34" s="49"/>
      <c r="FB34" s="49"/>
      <c r="FC34" s="49"/>
      <c r="FD34" s="49"/>
      <c r="FE34" s="49"/>
      <c r="FF34" s="49"/>
      <c r="FG34" s="49"/>
      <c r="FH34" s="49"/>
      <c r="FI34" s="49"/>
      <c r="FJ34" s="49"/>
      <c r="FK34" s="49"/>
      <c r="FL34" s="49"/>
      <c r="FM34" s="49"/>
      <c r="FN34" s="49"/>
      <c r="FO34" s="49"/>
      <c r="FP34" s="49"/>
      <c r="FQ34" s="49"/>
      <c r="FR34" s="49"/>
      <c r="FS34" s="49"/>
      <c r="FT34" s="49"/>
      <c r="FU34" s="49"/>
      <c r="FV34" s="49"/>
      <c r="FW34" s="49"/>
      <c r="FX34" s="49"/>
      <c r="FY34" s="49"/>
      <c r="FZ34" s="49"/>
      <c r="GA34" s="49"/>
      <c r="GB34" s="49"/>
      <c r="GC34" s="49"/>
      <c r="GD34" s="49"/>
      <c r="GE34" s="49"/>
      <c r="GF34" s="49"/>
      <c r="GG34" s="49"/>
      <c r="GH34" s="49"/>
      <c r="GI34" s="49"/>
      <c r="GJ34" s="49"/>
      <c r="GK34" s="49"/>
      <c r="GL34" s="49"/>
      <c r="GM34" s="49"/>
      <c r="GN34" s="49"/>
      <c r="GO34" s="49"/>
      <c r="GP34" s="49"/>
      <c r="GQ34" s="49"/>
      <c r="GR34" s="49"/>
      <c r="GS34" s="49"/>
      <c r="GT34" s="49"/>
      <c r="GU34" s="49"/>
      <c r="GV34" s="49"/>
      <c r="GW34" s="49"/>
      <c r="GX34" s="49"/>
      <c r="GY34" s="49"/>
      <c r="GZ34" s="49"/>
      <c r="HA34" s="49"/>
      <c r="HB34" s="49"/>
      <c r="HC34" s="49"/>
      <c r="HD34" s="49"/>
      <c r="HE34" s="49"/>
      <c r="HF34" s="49"/>
      <c r="HG34" s="49"/>
      <c r="HH34" s="49"/>
      <c r="HI34" s="49"/>
      <c r="HJ34" s="49"/>
      <c r="HK34" s="49"/>
      <c r="HL34" s="49"/>
      <c r="HM34" s="49"/>
      <c r="HN34" s="49"/>
      <c r="HO34" s="49"/>
      <c r="HP34" s="49"/>
      <c r="HQ34" s="49"/>
      <c r="HR34" s="49"/>
      <c r="HS34" s="49"/>
      <c r="HT34" s="49"/>
      <c r="HU34" s="49"/>
      <c r="HV34" s="49"/>
      <c r="HW34" s="49"/>
      <c r="HX34" s="49"/>
      <c r="HY34" s="49"/>
      <c r="HZ34" s="49"/>
    </row>
    <row r="35" spans="1:234" ht="17.5" x14ac:dyDescent="0.45">
      <c r="A35" s="269" t="s">
        <v>69</v>
      </c>
      <c r="B35" s="281">
        <v>2200</v>
      </c>
      <c r="C35" s="283">
        <v>0</v>
      </c>
      <c r="D35" s="281">
        <v>1359</v>
      </c>
      <c r="E35" s="281">
        <v>5966.4935064935062</v>
      </c>
      <c r="F35" s="281">
        <v>39.367088607594937</v>
      </c>
      <c r="G35" s="281">
        <f t="shared" si="0"/>
        <v>6005.8605951011014</v>
      </c>
      <c r="H35" s="283">
        <v>0</v>
      </c>
      <c r="I35" s="283">
        <v>0</v>
      </c>
      <c r="J35" s="283">
        <f>Table26[[#This Row],[
FRIANT-KERN CANAL -KAWEAH DELTA WCD   1/
CLASS 1]]+Table26[[#This Row],[
FRIANT-KERN CANAL -KAWEAH DELTA WCD   1/
CLASS 2]]</f>
        <v>0</v>
      </c>
      <c r="K35" s="63">
        <f t="shared" si="1"/>
        <v>9525.4935064935053</v>
      </c>
      <c r="L35" s="57"/>
      <c r="M35" s="63">
        <f t="shared" si="2"/>
        <v>39.367088607594937</v>
      </c>
      <c r="N35" s="48"/>
      <c r="O35" s="48"/>
      <c r="P35" s="48"/>
      <c r="Q35" s="48"/>
      <c r="R35" s="48"/>
      <c r="S35" s="48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49"/>
      <c r="AW35" s="49"/>
      <c r="AX35" s="49"/>
      <c r="AY35" s="49"/>
      <c r="AZ35" s="49"/>
      <c r="BA35" s="49"/>
      <c r="BB35" s="49"/>
      <c r="BC35" s="49"/>
      <c r="BD35" s="49"/>
      <c r="BE35" s="49"/>
      <c r="BF35" s="49"/>
      <c r="BG35" s="49"/>
      <c r="BH35" s="49"/>
      <c r="BI35" s="49"/>
      <c r="BJ35" s="49"/>
      <c r="BK35" s="49"/>
      <c r="BL35" s="49"/>
      <c r="BM35" s="49"/>
      <c r="BN35" s="49"/>
      <c r="BO35" s="49"/>
      <c r="BP35" s="49"/>
      <c r="BQ35" s="49"/>
      <c r="BR35" s="49"/>
      <c r="BS35" s="49"/>
      <c r="BT35" s="49"/>
      <c r="BU35" s="49"/>
      <c r="BV35" s="49"/>
      <c r="BW35" s="49"/>
      <c r="BX35" s="49"/>
      <c r="BY35" s="49"/>
      <c r="BZ35" s="49"/>
      <c r="CA35" s="49"/>
      <c r="CB35" s="49"/>
      <c r="CC35" s="49"/>
      <c r="CD35" s="49"/>
      <c r="CE35" s="49"/>
      <c r="CF35" s="49"/>
      <c r="CG35" s="49"/>
      <c r="CH35" s="49"/>
      <c r="CI35" s="49"/>
      <c r="CJ35" s="49"/>
      <c r="CK35" s="49"/>
      <c r="CL35" s="49"/>
      <c r="CM35" s="49"/>
      <c r="CN35" s="49"/>
      <c r="CO35" s="49"/>
      <c r="CP35" s="49"/>
      <c r="CQ35" s="49"/>
      <c r="CR35" s="49"/>
      <c r="CS35" s="49"/>
      <c r="CT35" s="49"/>
      <c r="CU35" s="49"/>
      <c r="CV35" s="49"/>
      <c r="CW35" s="49"/>
      <c r="CX35" s="49"/>
      <c r="CY35" s="49"/>
      <c r="CZ35" s="49"/>
      <c r="DA35" s="49"/>
      <c r="DB35" s="49"/>
      <c r="DC35" s="49"/>
      <c r="DD35" s="49"/>
      <c r="DE35" s="49"/>
      <c r="DF35" s="49"/>
      <c r="DG35" s="49"/>
      <c r="DH35" s="49"/>
      <c r="DI35" s="49"/>
      <c r="DJ35" s="49"/>
      <c r="DK35" s="49"/>
      <c r="DL35" s="49"/>
      <c r="DM35" s="49"/>
      <c r="DN35" s="49"/>
      <c r="DO35" s="49"/>
      <c r="DP35" s="49"/>
      <c r="DQ35" s="49"/>
      <c r="DR35" s="49"/>
      <c r="DS35" s="49"/>
      <c r="DT35" s="49"/>
      <c r="DU35" s="49"/>
      <c r="DV35" s="49"/>
      <c r="DW35" s="49"/>
      <c r="DX35" s="49"/>
      <c r="DY35" s="49"/>
      <c r="DZ35" s="49"/>
      <c r="EA35" s="49"/>
      <c r="EB35" s="49"/>
      <c r="EC35" s="49"/>
      <c r="ED35" s="49"/>
      <c r="EE35" s="49"/>
      <c r="EF35" s="49"/>
      <c r="EG35" s="49"/>
      <c r="EH35" s="49"/>
      <c r="EI35" s="49"/>
      <c r="EJ35" s="49"/>
      <c r="EK35" s="49"/>
      <c r="EL35" s="49"/>
      <c r="EM35" s="49"/>
      <c r="EN35" s="49"/>
      <c r="EO35" s="49"/>
      <c r="EP35" s="49"/>
      <c r="EQ35" s="49"/>
      <c r="ER35" s="49"/>
      <c r="ES35" s="49"/>
      <c r="ET35" s="49"/>
      <c r="EU35" s="49"/>
      <c r="EV35" s="49"/>
      <c r="EW35" s="49"/>
      <c r="EX35" s="49"/>
      <c r="EY35" s="49"/>
      <c r="EZ35" s="49"/>
      <c r="FA35" s="49"/>
      <c r="FB35" s="49"/>
      <c r="FC35" s="49"/>
      <c r="FD35" s="49"/>
      <c r="FE35" s="49"/>
      <c r="FF35" s="49"/>
      <c r="FG35" s="49"/>
      <c r="FH35" s="49"/>
      <c r="FI35" s="49"/>
      <c r="FJ35" s="49"/>
      <c r="FK35" s="49"/>
      <c r="FL35" s="49"/>
      <c r="FM35" s="49"/>
      <c r="FN35" s="49"/>
      <c r="FO35" s="49"/>
      <c r="FP35" s="49"/>
      <c r="FQ35" s="49"/>
      <c r="FR35" s="49"/>
      <c r="FS35" s="49"/>
      <c r="FT35" s="49"/>
      <c r="FU35" s="49"/>
      <c r="FV35" s="49"/>
      <c r="FW35" s="49"/>
      <c r="FX35" s="49"/>
      <c r="FY35" s="49"/>
      <c r="FZ35" s="49"/>
      <c r="GA35" s="49"/>
      <c r="GB35" s="49"/>
      <c r="GC35" s="49"/>
      <c r="GD35" s="49"/>
      <c r="GE35" s="49"/>
      <c r="GF35" s="49"/>
      <c r="GG35" s="49"/>
      <c r="GH35" s="49"/>
      <c r="GI35" s="49"/>
      <c r="GJ35" s="49"/>
      <c r="GK35" s="49"/>
      <c r="GL35" s="49"/>
      <c r="GM35" s="49"/>
      <c r="GN35" s="49"/>
      <c r="GO35" s="49"/>
      <c r="GP35" s="49"/>
      <c r="GQ35" s="49"/>
      <c r="GR35" s="49"/>
      <c r="GS35" s="49"/>
      <c r="GT35" s="49"/>
      <c r="GU35" s="49"/>
      <c r="GV35" s="49"/>
      <c r="GW35" s="49"/>
      <c r="GX35" s="49"/>
      <c r="GY35" s="49"/>
      <c r="GZ35" s="49"/>
      <c r="HA35" s="49"/>
      <c r="HB35" s="49"/>
      <c r="HC35" s="49"/>
      <c r="HD35" s="49"/>
      <c r="HE35" s="49"/>
      <c r="HF35" s="49"/>
      <c r="HG35" s="49"/>
      <c r="HH35" s="49"/>
      <c r="HI35" s="49"/>
      <c r="HJ35" s="49"/>
      <c r="HK35" s="49"/>
      <c r="HL35" s="49"/>
      <c r="HM35" s="49"/>
      <c r="HN35" s="49"/>
      <c r="HO35" s="49"/>
      <c r="HP35" s="49"/>
      <c r="HQ35" s="49"/>
      <c r="HR35" s="49"/>
      <c r="HS35" s="49"/>
      <c r="HT35" s="49"/>
      <c r="HU35" s="49"/>
      <c r="HV35" s="49"/>
      <c r="HW35" s="49"/>
      <c r="HX35" s="49"/>
      <c r="HY35" s="49"/>
      <c r="HZ35" s="49"/>
    </row>
    <row r="36" spans="1:234" ht="17.5" x14ac:dyDescent="0.45">
      <c r="A36" s="270" t="s">
        <v>70</v>
      </c>
      <c r="B36" s="281">
        <v>4542</v>
      </c>
      <c r="C36" s="283">
        <v>0</v>
      </c>
      <c r="D36" s="281">
        <v>964</v>
      </c>
      <c r="E36" s="281">
        <v>7216</v>
      </c>
      <c r="F36" s="281">
        <v>1360</v>
      </c>
      <c r="G36" s="281">
        <f t="shared" si="0"/>
        <v>8576</v>
      </c>
      <c r="H36" s="283">
        <v>0</v>
      </c>
      <c r="I36" s="281">
        <v>7400</v>
      </c>
      <c r="J36" s="281">
        <f>Table26[[#This Row],[
FRIANT-KERN CANAL -KAWEAH DELTA WCD   1/
CLASS 1]]+Table26[[#This Row],[
FRIANT-KERN CANAL -KAWEAH DELTA WCD   1/
CLASS 2]]</f>
        <v>7400</v>
      </c>
      <c r="K36" s="63">
        <f t="shared" si="1"/>
        <v>12722</v>
      </c>
      <c r="L36" s="57"/>
      <c r="M36" s="63">
        <f t="shared" si="2"/>
        <v>8760</v>
      </c>
      <c r="N36" s="48"/>
      <c r="O36" s="48"/>
      <c r="P36" s="48"/>
      <c r="Q36" s="48"/>
      <c r="R36" s="48"/>
      <c r="S36" s="48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  <c r="BC36" s="49"/>
      <c r="BD36" s="49"/>
      <c r="BE36" s="49"/>
      <c r="BF36" s="49"/>
      <c r="BG36" s="49"/>
      <c r="BH36" s="49"/>
      <c r="BI36" s="49"/>
      <c r="BJ36" s="49"/>
      <c r="BK36" s="49"/>
      <c r="BL36" s="49"/>
      <c r="BM36" s="49"/>
      <c r="BN36" s="49"/>
      <c r="BO36" s="49"/>
      <c r="BP36" s="49"/>
      <c r="BQ36" s="49"/>
      <c r="BR36" s="49"/>
      <c r="BS36" s="49"/>
      <c r="BT36" s="49"/>
      <c r="BU36" s="49"/>
      <c r="BV36" s="49"/>
      <c r="BW36" s="49"/>
      <c r="BX36" s="49"/>
      <c r="BY36" s="49"/>
      <c r="BZ36" s="49"/>
      <c r="CA36" s="49"/>
      <c r="CB36" s="49"/>
      <c r="CC36" s="49"/>
      <c r="CD36" s="49"/>
      <c r="CE36" s="49"/>
      <c r="CF36" s="49"/>
      <c r="CG36" s="49"/>
      <c r="CH36" s="49"/>
      <c r="CI36" s="49"/>
      <c r="CJ36" s="49"/>
      <c r="CK36" s="49"/>
      <c r="CL36" s="49"/>
      <c r="CM36" s="49"/>
      <c r="CN36" s="49"/>
      <c r="CO36" s="49"/>
      <c r="CP36" s="49"/>
      <c r="CQ36" s="49"/>
      <c r="CR36" s="49"/>
      <c r="CS36" s="49"/>
      <c r="CT36" s="49"/>
      <c r="CU36" s="49"/>
      <c r="CV36" s="49"/>
      <c r="CW36" s="49"/>
      <c r="CX36" s="49"/>
      <c r="CY36" s="49"/>
      <c r="CZ36" s="49"/>
      <c r="DA36" s="49"/>
      <c r="DB36" s="49"/>
      <c r="DC36" s="49"/>
      <c r="DD36" s="49"/>
      <c r="DE36" s="49"/>
      <c r="DF36" s="49"/>
      <c r="DG36" s="49"/>
      <c r="DH36" s="49"/>
      <c r="DI36" s="49"/>
      <c r="DJ36" s="49"/>
      <c r="DK36" s="49"/>
      <c r="DL36" s="49"/>
      <c r="DM36" s="49"/>
      <c r="DN36" s="49"/>
      <c r="DO36" s="49"/>
      <c r="DP36" s="49"/>
      <c r="DQ36" s="49"/>
      <c r="DR36" s="49"/>
      <c r="DS36" s="49"/>
      <c r="DT36" s="49"/>
      <c r="DU36" s="49"/>
      <c r="DV36" s="49"/>
      <c r="DW36" s="49"/>
      <c r="DX36" s="49"/>
      <c r="DY36" s="49"/>
      <c r="DZ36" s="49"/>
      <c r="EA36" s="49"/>
      <c r="EB36" s="49"/>
      <c r="EC36" s="49"/>
      <c r="ED36" s="49"/>
      <c r="EE36" s="49"/>
      <c r="EF36" s="49"/>
      <c r="EG36" s="49"/>
      <c r="EH36" s="49"/>
      <c r="EI36" s="49"/>
      <c r="EJ36" s="49"/>
      <c r="EK36" s="49"/>
      <c r="EL36" s="49"/>
      <c r="EM36" s="49"/>
      <c r="EN36" s="49"/>
      <c r="EO36" s="49"/>
      <c r="EP36" s="49"/>
      <c r="EQ36" s="49"/>
      <c r="ER36" s="49"/>
      <c r="ES36" s="49"/>
      <c r="ET36" s="49"/>
      <c r="EU36" s="49"/>
      <c r="EV36" s="49"/>
      <c r="EW36" s="49"/>
      <c r="EX36" s="49"/>
      <c r="EY36" s="49"/>
      <c r="EZ36" s="49"/>
      <c r="FA36" s="49"/>
      <c r="FB36" s="49"/>
      <c r="FC36" s="49"/>
      <c r="FD36" s="49"/>
      <c r="FE36" s="49"/>
      <c r="FF36" s="49"/>
      <c r="FG36" s="49"/>
      <c r="FH36" s="49"/>
      <c r="FI36" s="49"/>
      <c r="FJ36" s="49"/>
      <c r="FK36" s="49"/>
      <c r="FL36" s="49"/>
      <c r="FM36" s="49"/>
      <c r="FN36" s="49"/>
      <c r="FO36" s="49"/>
      <c r="FP36" s="49"/>
      <c r="FQ36" s="49"/>
      <c r="FR36" s="49"/>
      <c r="FS36" s="49"/>
      <c r="FT36" s="49"/>
      <c r="FU36" s="49"/>
      <c r="FV36" s="49"/>
      <c r="FW36" s="49"/>
      <c r="FX36" s="49"/>
      <c r="FY36" s="49"/>
      <c r="FZ36" s="49"/>
      <c r="GA36" s="49"/>
      <c r="GB36" s="49"/>
      <c r="GC36" s="49"/>
      <c r="GD36" s="49"/>
      <c r="GE36" s="49"/>
      <c r="GF36" s="49"/>
      <c r="GG36" s="49"/>
      <c r="GH36" s="49"/>
      <c r="GI36" s="49"/>
      <c r="GJ36" s="49"/>
      <c r="GK36" s="49"/>
      <c r="GL36" s="49"/>
      <c r="GM36" s="49"/>
      <c r="GN36" s="49"/>
      <c r="GO36" s="49"/>
      <c r="GP36" s="49"/>
      <c r="GQ36" s="49"/>
      <c r="GR36" s="49"/>
      <c r="GS36" s="49"/>
      <c r="GT36" s="49"/>
      <c r="GU36" s="49"/>
      <c r="GV36" s="49"/>
      <c r="GW36" s="49"/>
      <c r="GX36" s="49"/>
      <c r="GY36" s="49"/>
      <c r="GZ36" s="49"/>
      <c r="HA36" s="49"/>
      <c r="HB36" s="49"/>
      <c r="HC36" s="49"/>
      <c r="HD36" s="49"/>
      <c r="HE36" s="49"/>
      <c r="HF36" s="49"/>
      <c r="HG36" s="49"/>
      <c r="HH36" s="49"/>
      <c r="HI36" s="49"/>
      <c r="HJ36" s="49"/>
      <c r="HK36" s="49"/>
      <c r="HL36" s="49"/>
      <c r="HM36" s="49"/>
      <c r="HN36" s="49"/>
      <c r="HO36" s="49"/>
      <c r="HP36" s="49"/>
      <c r="HQ36" s="49"/>
      <c r="HR36" s="49"/>
      <c r="HS36" s="49"/>
      <c r="HT36" s="49"/>
      <c r="HU36" s="49"/>
      <c r="HV36" s="49"/>
      <c r="HW36" s="49"/>
      <c r="HX36" s="49"/>
      <c r="HY36" s="49"/>
      <c r="HZ36" s="49"/>
    </row>
    <row r="37" spans="1:234" ht="17.5" x14ac:dyDescent="0.45">
      <c r="A37" s="269" t="s">
        <v>71</v>
      </c>
      <c r="B37" s="281">
        <v>1778</v>
      </c>
      <c r="C37" s="283">
        <v>0</v>
      </c>
      <c r="D37" s="281">
        <v>1080</v>
      </c>
      <c r="E37" s="281">
        <v>5165</v>
      </c>
      <c r="F37" s="281">
        <v>200</v>
      </c>
      <c r="G37" s="281">
        <f t="shared" si="0"/>
        <v>5365</v>
      </c>
      <c r="H37" s="281">
        <v>1200</v>
      </c>
      <c r="I37" s="281">
        <v>7400</v>
      </c>
      <c r="J37" s="281">
        <f>Table26[[#This Row],[
FRIANT-KERN CANAL -KAWEAH DELTA WCD   1/
CLASS 1]]+Table26[[#This Row],[
FRIANT-KERN CANAL -KAWEAH DELTA WCD   1/
CLASS 2]]</f>
        <v>8600</v>
      </c>
      <c r="K37" s="63">
        <f t="shared" si="1"/>
        <v>9223</v>
      </c>
      <c r="L37" s="57"/>
      <c r="M37" s="63">
        <f t="shared" si="2"/>
        <v>8800</v>
      </c>
      <c r="N37" s="48"/>
      <c r="O37" s="48"/>
      <c r="P37" s="48"/>
      <c r="Q37" s="48"/>
      <c r="R37" s="48"/>
      <c r="S37" s="48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  <c r="BC37" s="49"/>
      <c r="BD37" s="49"/>
      <c r="BE37" s="49"/>
      <c r="BF37" s="49"/>
      <c r="BG37" s="49"/>
      <c r="BH37" s="49"/>
      <c r="BI37" s="49"/>
      <c r="BJ37" s="49"/>
      <c r="BK37" s="49"/>
      <c r="BL37" s="49"/>
      <c r="BM37" s="49"/>
      <c r="BN37" s="49"/>
      <c r="BO37" s="49"/>
      <c r="BP37" s="49"/>
      <c r="BQ37" s="49"/>
      <c r="BR37" s="49"/>
      <c r="BS37" s="49"/>
      <c r="BT37" s="49"/>
      <c r="BU37" s="49"/>
      <c r="BV37" s="49"/>
      <c r="BW37" s="49"/>
      <c r="BX37" s="49"/>
      <c r="BY37" s="49"/>
      <c r="BZ37" s="49"/>
      <c r="CA37" s="49"/>
      <c r="CB37" s="49"/>
      <c r="CC37" s="49"/>
      <c r="CD37" s="49"/>
      <c r="CE37" s="49"/>
      <c r="CF37" s="49"/>
      <c r="CG37" s="49"/>
      <c r="CH37" s="49"/>
      <c r="CI37" s="49"/>
      <c r="CJ37" s="49"/>
      <c r="CK37" s="49"/>
      <c r="CL37" s="49"/>
      <c r="CM37" s="49"/>
      <c r="CN37" s="49"/>
      <c r="CO37" s="49"/>
      <c r="CP37" s="49"/>
      <c r="CQ37" s="49"/>
      <c r="CR37" s="49"/>
      <c r="CS37" s="49"/>
      <c r="CT37" s="49"/>
      <c r="CU37" s="49"/>
      <c r="CV37" s="49"/>
      <c r="CW37" s="49"/>
      <c r="CX37" s="49"/>
      <c r="CY37" s="49"/>
      <c r="CZ37" s="49"/>
      <c r="DA37" s="49"/>
      <c r="DB37" s="49"/>
      <c r="DC37" s="49"/>
      <c r="DD37" s="49"/>
      <c r="DE37" s="49"/>
      <c r="DF37" s="49"/>
      <c r="DG37" s="49"/>
      <c r="DH37" s="49"/>
      <c r="DI37" s="49"/>
      <c r="DJ37" s="49"/>
      <c r="DK37" s="49"/>
      <c r="DL37" s="49"/>
      <c r="DM37" s="49"/>
      <c r="DN37" s="49"/>
      <c r="DO37" s="49"/>
      <c r="DP37" s="49"/>
      <c r="DQ37" s="49"/>
      <c r="DR37" s="49"/>
      <c r="DS37" s="49"/>
      <c r="DT37" s="49"/>
      <c r="DU37" s="49"/>
      <c r="DV37" s="49"/>
      <c r="DW37" s="49"/>
      <c r="DX37" s="49"/>
      <c r="DY37" s="49"/>
      <c r="DZ37" s="49"/>
      <c r="EA37" s="49"/>
      <c r="EB37" s="49"/>
      <c r="EC37" s="49"/>
      <c r="ED37" s="49"/>
      <c r="EE37" s="49"/>
      <c r="EF37" s="49"/>
      <c r="EG37" s="49"/>
      <c r="EH37" s="49"/>
      <c r="EI37" s="49"/>
      <c r="EJ37" s="49"/>
      <c r="EK37" s="49"/>
      <c r="EL37" s="49"/>
      <c r="EM37" s="49"/>
      <c r="EN37" s="49"/>
      <c r="EO37" s="49"/>
      <c r="EP37" s="49"/>
      <c r="EQ37" s="49"/>
      <c r="ER37" s="49"/>
      <c r="ES37" s="49"/>
      <c r="ET37" s="49"/>
      <c r="EU37" s="49"/>
      <c r="EV37" s="49"/>
      <c r="EW37" s="49"/>
      <c r="EX37" s="49"/>
      <c r="EY37" s="49"/>
      <c r="EZ37" s="49"/>
      <c r="FA37" s="49"/>
      <c r="FB37" s="49"/>
      <c r="FC37" s="49"/>
      <c r="FD37" s="49"/>
      <c r="FE37" s="49"/>
      <c r="FF37" s="49"/>
      <c r="FG37" s="49"/>
      <c r="FH37" s="49"/>
      <c r="FI37" s="49"/>
      <c r="FJ37" s="49"/>
      <c r="FK37" s="49"/>
      <c r="FL37" s="49"/>
      <c r="FM37" s="49"/>
      <c r="FN37" s="49"/>
      <c r="FO37" s="49"/>
      <c r="FP37" s="49"/>
      <c r="FQ37" s="49"/>
      <c r="FR37" s="49"/>
      <c r="FS37" s="49"/>
      <c r="FT37" s="49"/>
      <c r="FU37" s="49"/>
      <c r="FV37" s="49"/>
      <c r="FW37" s="49"/>
      <c r="FX37" s="49"/>
      <c r="FY37" s="49"/>
      <c r="FZ37" s="49"/>
      <c r="GA37" s="49"/>
      <c r="GB37" s="49"/>
      <c r="GC37" s="49"/>
      <c r="GD37" s="49"/>
      <c r="GE37" s="49"/>
      <c r="GF37" s="49"/>
      <c r="GG37" s="49"/>
      <c r="GH37" s="49"/>
      <c r="GI37" s="49"/>
      <c r="GJ37" s="49"/>
      <c r="GK37" s="49"/>
      <c r="GL37" s="49"/>
      <c r="GM37" s="49"/>
      <c r="GN37" s="49"/>
      <c r="GO37" s="49"/>
      <c r="GP37" s="49"/>
      <c r="GQ37" s="49"/>
      <c r="GR37" s="49"/>
      <c r="GS37" s="49"/>
      <c r="GT37" s="49"/>
      <c r="GU37" s="49"/>
      <c r="GV37" s="49"/>
      <c r="GW37" s="49"/>
      <c r="GX37" s="49"/>
      <c r="GY37" s="49"/>
      <c r="GZ37" s="49"/>
      <c r="HA37" s="49"/>
      <c r="HB37" s="49"/>
      <c r="HC37" s="49"/>
      <c r="HD37" s="49"/>
      <c r="HE37" s="49"/>
      <c r="HF37" s="49"/>
      <c r="HG37" s="49"/>
      <c r="HH37" s="49"/>
      <c r="HI37" s="49"/>
      <c r="HJ37" s="49"/>
      <c r="HK37" s="49"/>
      <c r="HL37" s="49"/>
      <c r="HM37" s="49"/>
      <c r="HN37" s="49"/>
      <c r="HO37" s="49"/>
      <c r="HP37" s="49"/>
      <c r="HQ37" s="49"/>
      <c r="HR37" s="49"/>
      <c r="HS37" s="49"/>
      <c r="HT37" s="49"/>
      <c r="HU37" s="49"/>
      <c r="HV37" s="49"/>
      <c r="HW37" s="49"/>
      <c r="HX37" s="49"/>
      <c r="HY37" s="49"/>
      <c r="HZ37" s="49"/>
    </row>
    <row r="38" spans="1:234" ht="17.5" x14ac:dyDescent="0.45">
      <c r="A38" s="269" t="s">
        <v>72</v>
      </c>
      <c r="B38" s="281">
        <v>2783</v>
      </c>
      <c r="C38" s="283">
        <v>0</v>
      </c>
      <c r="D38" s="281">
        <v>906</v>
      </c>
      <c r="E38" s="281">
        <v>4011</v>
      </c>
      <c r="F38" s="281">
        <v>300</v>
      </c>
      <c r="G38" s="281">
        <f t="shared" si="0"/>
        <v>4311</v>
      </c>
      <c r="H38" s="281">
        <v>2019</v>
      </c>
      <c r="I38" s="283">
        <v>0</v>
      </c>
      <c r="J38" s="281">
        <f>Table26[[#This Row],[
FRIANT-KERN CANAL -KAWEAH DELTA WCD   1/
CLASS 1]]+Table26[[#This Row],[
FRIANT-KERN CANAL -KAWEAH DELTA WCD   1/
CLASS 2]]</f>
        <v>2019</v>
      </c>
      <c r="K38" s="63">
        <f t="shared" si="1"/>
        <v>9719</v>
      </c>
      <c r="L38" s="57"/>
      <c r="M38" s="63">
        <f t="shared" si="2"/>
        <v>2319</v>
      </c>
      <c r="N38" s="48"/>
      <c r="O38" s="48"/>
      <c r="P38" s="48"/>
      <c r="Q38" s="48"/>
      <c r="R38" s="48"/>
      <c r="S38" s="48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  <c r="EC38" s="49"/>
      <c r="ED38" s="49"/>
      <c r="EE38" s="49"/>
      <c r="EF38" s="49"/>
      <c r="EG38" s="49"/>
      <c r="EH38" s="49"/>
      <c r="EI38" s="49"/>
      <c r="EJ38" s="49"/>
      <c r="EK38" s="49"/>
      <c r="EL38" s="49"/>
      <c r="EM38" s="49"/>
      <c r="EN38" s="49"/>
      <c r="EO38" s="49"/>
      <c r="EP38" s="49"/>
      <c r="EQ38" s="49"/>
      <c r="ER38" s="49"/>
      <c r="ES38" s="49"/>
      <c r="ET38" s="49"/>
      <c r="EU38" s="49"/>
      <c r="EV38" s="49"/>
      <c r="EW38" s="49"/>
      <c r="EX38" s="49"/>
      <c r="EY38" s="49"/>
      <c r="EZ38" s="49"/>
      <c r="FA38" s="49"/>
      <c r="FB38" s="49"/>
      <c r="FC38" s="49"/>
      <c r="FD38" s="49"/>
      <c r="FE38" s="49"/>
      <c r="FF38" s="49"/>
      <c r="FG38" s="49"/>
      <c r="FH38" s="49"/>
      <c r="FI38" s="49"/>
      <c r="FJ38" s="49"/>
      <c r="FK38" s="49"/>
      <c r="FL38" s="49"/>
      <c r="FM38" s="49"/>
      <c r="FN38" s="49"/>
      <c r="FO38" s="49"/>
      <c r="FP38" s="49"/>
      <c r="FQ38" s="49"/>
      <c r="FR38" s="49"/>
      <c r="FS38" s="49"/>
      <c r="FT38" s="49"/>
      <c r="FU38" s="49"/>
      <c r="FV38" s="49"/>
      <c r="FW38" s="49"/>
      <c r="FX38" s="49"/>
      <c r="FY38" s="49"/>
      <c r="FZ38" s="49"/>
      <c r="GA38" s="49"/>
      <c r="GB38" s="49"/>
      <c r="GC38" s="49"/>
      <c r="GD38" s="49"/>
      <c r="GE38" s="49"/>
      <c r="GF38" s="49"/>
      <c r="GG38" s="49"/>
      <c r="GH38" s="49"/>
      <c r="GI38" s="49"/>
      <c r="GJ38" s="49"/>
      <c r="GK38" s="49"/>
      <c r="GL38" s="49"/>
      <c r="GM38" s="49"/>
      <c r="GN38" s="49"/>
      <c r="GO38" s="49"/>
      <c r="GP38" s="49"/>
      <c r="GQ38" s="49"/>
      <c r="GR38" s="49"/>
      <c r="GS38" s="49"/>
      <c r="GT38" s="49"/>
      <c r="GU38" s="49"/>
      <c r="GV38" s="49"/>
      <c r="GW38" s="49"/>
      <c r="GX38" s="49"/>
      <c r="GY38" s="49"/>
      <c r="GZ38" s="49"/>
      <c r="HA38" s="49"/>
      <c r="HB38" s="49"/>
      <c r="HC38" s="49"/>
      <c r="HD38" s="49"/>
      <c r="HE38" s="49"/>
      <c r="HF38" s="49"/>
      <c r="HG38" s="49"/>
      <c r="HH38" s="49"/>
      <c r="HI38" s="49"/>
      <c r="HJ38" s="49"/>
      <c r="HK38" s="49"/>
      <c r="HL38" s="49"/>
      <c r="HM38" s="49"/>
      <c r="HN38" s="49"/>
      <c r="HO38" s="49"/>
      <c r="HP38" s="49"/>
      <c r="HQ38" s="49"/>
      <c r="HR38" s="49"/>
      <c r="HS38" s="49"/>
      <c r="HT38" s="49"/>
      <c r="HU38" s="49"/>
      <c r="HV38" s="49"/>
      <c r="HW38" s="49"/>
      <c r="HX38" s="49"/>
      <c r="HY38" s="49"/>
      <c r="HZ38" s="49"/>
    </row>
    <row r="39" spans="1:234" ht="17.5" x14ac:dyDescent="0.45">
      <c r="A39" s="269" t="s">
        <v>73</v>
      </c>
      <c r="B39" s="281">
        <v>3097</v>
      </c>
      <c r="C39" s="283">
        <v>0</v>
      </c>
      <c r="D39" s="281">
        <v>817</v>
      </c>
      <c r="E39" s="281">
        <v>7141</v>
      </c>
      <c r="F39" s="283">
        <v>0</v>
      </c>
      <c r="G39" s="281">
        <f t="shared" ref="G39:G56" si="4">SUM(E39:F39)</f>
        <v>7141</v>
      </c>
      <c r="H39" s="281">
        <v>780</v>
      </c>
      <c r="I39" s="283">
        <v>0</v>
      </c>
      <c r="J39" s="281">
        <f>Table26[[#This Row],[
FRIANT-KERN CANAL -KAWEAH DELTA WCD   1/
CLASS 1]]+Table26[[#This Row],[
FRIANT-KERN CANAL -KAWEAH DELTA WCD   1/
CLASS 2]]</f>
        <v>780</v>
      </c>
      <c r="K39" s="63">
        <f t="shared" ref="K39:K56" si="5">SUM(B39,C39,D39,E39,H39)</f>
        <v>11835</v>
      </c>
      <c r="L39" s="57"/>
      <c r="M39" s="63">
        <f t="shared" ref="M39:M56" si="6">SUM(F39,J39)</f>
        <v>780</v>
      </c>
      <c r="N39" s="48"/>
      <c r="O39" s="48"/>
      <c r="P39" s="48"/>
      <c r="Q39" s="48"/>
      <c r="R39" s="48"/>
      <c r="S39" s="48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/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/>
      <c r="BH39" s="49"/>
      <c r="BI39" s="49"/>
      <c r="BJ39" s="49"/>
      <c r="BK39" s="49"/>
      <c r="BL39" s="49"/>
      <c r="BM39" s="49"/>
      <c r="BN39" s="49"/>
      <c r="BO39" s="49"/>
      <c r="BP39" s="49"/>
      <c r="BQ39" s="49"/>
      <c r="BR39" s="49"/>
      <c r="BS39" s="49"/>
      <c r="BT39" s="49"/>
      <c r="BU39" s="49"/>
      <c r="BV39" s="49"/>
      <c r="BW39" s="49"/>
      <c r="BX39" s="49"/>
      <c r="BY39" s="49"/>
      <c r="BZ39" s="49"/>
      <c r="CA39" s="49"/>
      <c r="CB39" s="49"/>
      <c r="CC39" s="49"/>
      <c r="CD39" s="49"/>
      <c r="CE39" s="49"/>
      <c r="CF39" s="49"/>
      <c r="CG39" s="49"/>
      <c r="CH39" s="49"/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9"/>
      <c r="CY39" s="49"/>
      <c r="CZ39" s="49"/>
      <c r="DA39" s="49"/>
      <c r="DB39" s="49"/>
      <c r="DC39" s="49"/>
      <c r="DD39" s="49"/>
      <c r="DE39" s="49"/>
      <c r="DF39" s="49"/>
      <c r="DG39" s="49"/>
      <c r="DH39" s="49"/>
      <c r="DI39" s="49"/>
      <c r="DJ39" s="49"/>
      <c r="DK39" s="49"/>
      <c r="DL39" s="49"/>
      <c r="DM39" s="49"/>
      <c r="DN39" s="49"/>
      <c r="DO39" s="49"/>
      <c r="DP39" s="49"/>
      <c r="DQ39" s="49"/>
      <c r="DR39" s="49"/>
      <c r="DS39" s="49"/>
      <c r="DT39" s="49"/>
      <c r="DU39" s="49"/>
      <c r="DV39" s="49"/>
      <c r="DW39" s="49"/>
      <c r="DX39" s="49"/>
      <c r="DY39" s="49"/>
      <c r="DZ39" s="49"/>
      <c r="EA39" s="49"/>
      <c r="EB39" s="49"/>
      <c r="EC39" s="49"/>
      <c r="ED39" s="49"/>
      <c r="EE39" s="49"/>
      <c r="EF39" s="49"/>
      <c r="EG39" s="49"/>
      <c r="EH39" s="49"/>
      <c r="EI39" s="49"/>
      <c r="EJ39" s="49"/>
      <c r="EK39" s="49"/>
      <c r="EL39" s="49"/>
      <c r="EM39" s="49"/>
      <c r="EN39" s="49"/>
      <c r="EO39" s="49"/>
      <c r="EP39" s="49"/>
      <c r="EQ39" s="49"/>
      <c r="ER39" s="49"/>
      <c r="ES39" s="49"/>
      <c r="ET39" s="49"/>
      <c r="EU39" s="49"/>
      <c r="EV39" s="49"/>
      <c r="EW39" s="49"/>
      <c r="EX39" s="49"/>
      <c r="EY39" s="49"/>
      <c r="EZ39" s="49"/>
      <c r="FA39" s="49"/>
      <c r="FB39" s="49"/>
      <c r="FC39" s="49"/>
      <c r="FD39" s="49"/>
      <c r="FE39" s="49"/>
      <c r="FF39" s="49"/>
      <c r="FG39" s="49"/>
      <c r="FH39" s="49"/>
      <c r="FI39" s="49"/>
      <c r="FJ39" s="49"/>
      <c r="FK39" s="49"/>
      <c r="FL39" s="49"/>
      <c r="FM39" s="49"/>
      <c r="FN39" s="49"/>
      <c r="FO39" s="49"/>
      <c r="FP39" s="49"/>
      <c r="FQ39" s="49"/>
      <c r="FR39" s="49"/>
      <c r="FS39" s="49"/>
      <c r="FT39" s="49"/>
      <c r="FU39" s="49"/>
      <c r="FV39" s="49"/>
      <c r="FW39" s="49"/>
      <c r="FX39" s="49"/>
      <c r="FY39" s="49"/>
      <c r="FZ39" s="49"/>
      <c r="GA39" s="49"/>
      <c r="GB39" s="49"/>
      <c r="GC39" s="49"/>
      <c r="GD39" s="49"/>
      <c r="GE39" s="49"/>
      <c r="GF39" s="49"/>
      <c r="GG39" s="49"/>
      <c r="GH39" s="49"/>
      <c r="GI39" s="49"/>
      <c r="GJ39" s="49"/>
      <c r="GK39" s="49"/>
      <c r="GL39" s="49"/>
      <c r="GM39" s="49"/>
      <c r="GN39" s="49"/>
      <c r="GO39" s="49"/>
      <c r="GP39" s="49"/>
      <c r="GQ39" s="49"/>
      <c r="GR39" s="49"/>
      <c r="GS39" s="49"/>
      <c r="GT39" s="49"/>
      <c r="GU39" s="49"/>
      <c r="GV39" s="49"/>
      <c r="GW39" s="49"/>
      <c r="GX39" s="49"/>
      <c r="GY39" s="49"/>
      <c r="GZ39" s="49"/>
      <c r="HA39" s="49"/>
      <c r="HB39" s="49"/>
      <c r="HC39" s="49"/>
      <c r="HD39" s="49"/>
      <c r="HE39" s="49"/>
      <c r="HF39" s="49"/>
      <c r="HG39" s="49"/>
      <c r="HH39" s="49"/>
      <c r="HI39" s="49"/>
      <c r="HJ39" s="49"/>
      <c r="HK39" s="49"/>
      <c r="HL39" s="49"/>
      <c r="HM39" s="49"/>
      <c r="HN39" s="49"/>
      <c r="HO39" s="49"/>
      <c r="HP39" s="49"/>
      <c r="HQ39" s="49"/>
      <c r="HR39" s="49"/>
      <c r="HS39" s="49"/>
      <c r="HT39" s="49"/>
      <c r="HU39" s="49"/>
      <c r="HV39" s="49"/>
      <c r="HW39" s="49"/>
      <c r="HX39" s="49"/>
      <c r="HY39" s="49"/>
      <c r="HZ39" s="49"/>
    </row>
    <row r="40" spans="1:234" ht="17.5" x14ac:dyDescent="0.45">
      <c r="A40" s="269" t="s">
        <v>74</v>
      </c>
      <c r="B40" s="281">
        <v>831</v>
      </c>
      <c r="C40" s="281">
        <v>608</v>
      </c>
      <c r="D40" s="281">
        <v>31</v>
      </c>
      <c r="E40" s="283">
        <v>0</v>
      </c>
      <c r="F40" s="283">
        <v>0</v>
      </c>
      <c r="G40" s="283">
        <f t="shared" si="4"/>
        <v>0</v>
      </c>
      <c r="H40" s="281">
        <v>236</v>
      </c>
      <c r="I40" s="283">
        <v>0</v>
      </c>
      <c r="J40" s="281">
        <f>Table26[[#This Row],[
FRIANT-KERN CANAL -KAWEAH DELTA WCD   1/
CLASS 1]]+Table26[[#This Row],[
FRIANT-KERN CANAL -KAWEAH DELTA WCD   1/
CLASS 2]]</f>
        <v>236</v>
      </c>
      <c r="K40" s="63">
        <f t="shared" si="5"/>
        <v>1706</v>
      </c>
      <c r="L40" s="57"/>
      <c r="M40" s="63">
        <f t="shared" si="6"/>
        <v>236</v>
      </c>
      <c r="N40" s="48"/>
      <c r="O40" s="48"/>
      <c r="P40" s="48"/>
      <c r="Q40" s="48"/>
      <c r="R40" s="48"/>
      <c r="S40" s="48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/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/>
      <c r="BH40" s="49"/>
      <c r="BI40" s="49"/>
      <c r="BJ40" s="49"/>
      <c r="BK40" s="49"/>
      <c r="BL40" s="49"/>
      <c r="BM40" s="49"/>
      <c r="BN40" s="49"/>
      <c r="BO40" s="49"/>
      <c r="BP40" s="49"/>
      <c r="BQ40" s="49"/>
      <c r="BR40" s="49"/>
      <c r="BS40" s="49"/>
      <c r="BT40" s="49"/>
      <c r="BU40" s="49"/>
      <c r="BV40" s="49"/>
      <c r="BW40" s="49"/>
      <c r="BX40" s="49"/>
      <c r="BY40" s="49"/>
      <c r="BZ40" s="49"/>
      <c r="CA40" s="49"/>
      <c r="CB40" s="49"/>
      <c r="CC40" s="49"/>
      <c r="CD40" s="49"/>
      <c r="CE40" s="49"/>
      <c r="CF40" s="49"/>
      <c r="CG40" s="49"/>
      <c r="CH40" s="49"/>
      <c r="CI40" s="49"/>
      <c r="CJ40" s="49"/>
      <c r="CK40" s="49"/>
      <c r="CL40" s="49"/>
      <c r="CM40" s="49"/>
      <c r="CN40" s="49"/>
      <c r="CO40" s="49"/>
      <c r="CP40" s="49"/>
      <c r="CQ40" s="49"/>
      <c r="CR40" s="49"/>
      <c r="CS40" s="49"/>
      <c r="CT40" s="49"/>
      <c r="CU40" s="49"/>
      <c r="CV40" s="49"/>
      <c r="CW40" s="49"/>
      <c r="CX40" s="49"/>
      <c r="CY40" s="49"/>
      <c r="CZ40" s="49"/>
      <c r="DA40" s="49"/>
      <c r="DB40" s="49"/>
      <c r="DC40" s="49"/>
      <c r="DD40" s="49"/>
      <c r="DE40" s="49"/>
      <c r="DF40" s="49"/>
      <c r="DG40" s="49"/>
      <c r="DH40" s="49"/>
      <c r="DI40" s="49"/>
      <c r="DJ40" s="49"/>
      <c r="DK40" s="49"/>
      <c r="DL40" s="49"/>
      <c r="DM40" s="49"/>
      <c r="DN40" s="49"/>
      <c r="DO40" s="49"/>
      <c r="DP40" s="49"/>
      <c r="DQ40" s="49"/>
      <c r="DR40" s="49"/>
      <c r="DS40" s="49"/>
      <c r="DT40" s="49"/>
      <c r="DU40" s="49"/>
      <c r="DV40" s="49"/>
      <c r="DW40" s="49"/>
      <c r="DX40" s="49"/>
      <c r="DY40" s="49"/>
      <c r="DZ40" s="49"/>
      <c r="EA40" s="49"/>
      <c r="EB40" s="49"/>
      <c r="EC40" s="49"/>
      <c r="ED40" s="49"/>
      <c r="EE40" s="49"/>
      <c r="EF40" s="49"/>
      <c r="EG40" s="49"/>
      <c r="EH40" s="49"/>
      <c r="EI40" s="49"/>
      <c r="EJ40" s="49"/>
      <c r="EK40" s="49"/>
      <c r="EL40" s="49"/>
      <c r="EM40" s="49"/>
      <c r="EN40" s="49"/>
      <c r="EO40" s="49"/>
      <c r="EP40" s="49"/>
      <c r="EQ40" s="49"/>
      <c r="ER40" s="49"/>
      <c r="ES40" s="49"/>
      <c r="ET40" s="49"/>
      <c r="EU40" s="49"/>
      <c r="EV40" s="49"/>
      <c r="EW40" s="49"/>
      <c r="EX40" s="49"/>
      <c r="EY40" s="49"/>
      <c r="EZ40" s="49"/>
      <c r="FA40" s="49"/>
      <c r="FB40" s="49"/>
      <c r="FC40" s="49"/>
      <c r="FD40" s="49"/>
      <c r="FE40" s="49"/>
      <c r="FF40" s="49"/>
      <c r="FG40" s="49"/>
      <c r="FH40" s="49"/>
      <c r="FI40" s="49"/>
      <c r="FJ40" s="49"/>
      <c r="FK40" s="49"/>
      <c r="FL40" s="49"/>
      <c r="FM40" s="49"/>
      <c r="FN40" s="49"/>
      <c r="FO40" s="49"/>
      <c r="FP40" s="49"/>
      <c r="FQ40" s="49"/>
      <c r="FR40" s="49"/>
      <c r="FS40" s="49"/>
      <c r="FT40" s="49"/>
      <c r="FU40" s="49"/>
      <c r="FV40" s="49"/>
      <c r="FW40" s="49"/>
      <c r="FX40" s="49"/>
      <c r="FY40" s="49"/>
      <c r="FZ40" s="49"/>
      <c r="GA40" s="49"/>
      <c r="GB40" s="49"/>
      <c r="GC40" s="49"/>
      <c r="GD40" s="49"/>
      <c r="GE40" s="49"/>
      <c r="GF40" s="49"/>
      <c r="GG40" s="49"/>
      <c r="GH40" s="49"/>
      <c r="GI40" s="49"/>
      <c r="GJ40" s="49"/>
      <c r="GK40" s="49"/>
      <c r="GL40" s="49"/>
      <c r="GM40" s="49"/>
      <c r="GN40" s="49"/>
      <c r="GO40" s="49"/>
      <c r="GP40" s="49"/>
      <c r="GQ40" s="49"/>
      <c r="GR40" s="49"/>
      <c r="GS40" s="49"/>
      <c r="GT40" s="49"/>
      <c r="GU40" s="49"/>
      <c r="GV40" s="49"/>
      <c r="GW40" s="49"/>
      <c r="GX40" s="49"/>
      <c r="GY40" s="49"/>
      <c r="GZ40" s="49"/>
      <c r="HA40" s="49"/>
      <c r="HB40" s="49"/>
      <c r="HC40" s="49"/>
      <c r="HD40" s="49"/>
      <c r="HE40" s="49"/>
      <c r="HF40" s="49"/>
      <c r="HG40" s="49"/>
      <c r="HH40" s="49"/>
      <c r="HI40" s="49"/>
      <c r="HJ40" s="49"/>
      <c r="HK40" s="49"/>
      <c r="HL40" s="49"/>
      <c r="HM40" s="49"/>
      <c r="HN40" s="49"/>
      <c r="HO40" s="49"/>
      <c r="HP40" s="49"/>
      <c r="HQ40" s="49"/>
      <c r="HR40" s="49"/>
      <c r="HS40" s="49"/>
      <c r="HT40" s="49"/>
      <c r="HU40" s="49"/>
      <c r="HV40" s="49"/>
      <c r="HW40" s="49"/>
      <c r="HX40" s="49"/>
      <c r="HY40" s="49"/>
      <c r="HZ40" s="49"/>
    </row>
    <row r="41" spans="1:234" ht="17.5" x14ac:dyDescent="0.45">
      <c r="A41" s="269" t="s">
        <v>75</v>
      </c>
      <c r="B41" s="283">
        <v>0</v>
      </c>
      <c r="C41" s="281">
        <v>127</v>
      </c>
      <c r="D41" s="281">
        <v>66</v>
      </c>
      <c r="E41" s="281">
        <v>314</v>
      </c>
      <c r="F41" s="283">
        <v>0</v>
      </c>
      <c r="G41" s="281">
        <f t="shared" si="4"/>
        <v>314</v>
      </c>
      <c r="H41" s="283">
        <v>0</v>
      </c>
      <c r="I41" s="283">
        <v>0</v>
      </c>
      <c r="J41" s="283">
        <f>Table26[[#This Row],[
FRIANT-KERN CANAL -KAWEAH DELTA WCD   1/
CLASS 1]]+Table26[[#This Row],[
FRIANT-KERN CANAL -KAWEAH DELTA WCD   1/
CLASS 2]]</f>
        <v>0</v>
      </c>
      <c r="K41" s="63">
        <f t="shared" si="5"/>
        <v>507</v>
      </c>
      <c r="L41" s="57"/>
      <c r="M41" s="63">
        <f t="shared" si="6"/>
        <v>0</v>
      </c>
      <c r="N41" s="48"/>
      <c r="O41" s="48"/>
      <c r="P41" s="48"/>
      <c r="Q41" s="48"/>
      <c r="R41" s="48"/>
      <c r="S41" s="48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49"/>
      <c r="AW41" s="49"/>
      <c r="AX41" s="49"/>
      <c r="AY41" s="49"/>
      <c r="AZ41" s="49"/>
      <c r="BA41" s="49"/>
      <c r="BB41" s="49"/>
      <c r="BC41" s="49"/>
      <c r="BD41" s="49"/>
      <c r="BE41" s="49"/>
      <c r="BF41" s="49"/>
      <c r="BG41" s="49"/>
      <c r="BH41" s="49"/>
      <c r="BI41" s="49"/>
      <c r="BJ41" s="49"/>
      <c r="BK41" s="49"/>
      <c r="BL41" s="49"/>
      <c r="BM41" s="49"/>
      <c r="BN41" s="49"/>
      <c r="BO41" s="49"/>
      <c r="BP41" s="49"/>
      <c r="BQ41" s="49"/>
      <c r="BR41" s="49"/>
      <c r="BS41" s="49"/>
      <c r="BT41" s="49"/>
      <c r="BU41" s="49"/>
      <c r="BV41" s="49"/>
      <c r="BW41" s="49"/>
      <c r="BX41" s="49"/>
      <c r="BY41" s="49"/>
      <c r="BZ41" s="49"/>
      <c r="CA41" s="49"/>
      <c r="CB41" s="49"/>
      <c r="CC41" s="49"/>
      <c r="CD41" s="49"/>
      <c r="CE41" s="49"/>
      <c r="CF41" s="49"/>
      <c r="CG41" s="49"/>
      <c r="CH41" s="49"/>
      <c r="CI41" s="49"/>
      <c r="CJ41" s="49"/>
      <c r="CK41" s="49"/>
      <c r="CL41" s="49"/>
      <c r="CM41" s="49"/>
      <c r="CN41" s="49"/>
      <c r="CO41" s="49"/>
      <c r="CP41" s="49"/>
      <c r="CQ41" s="49"/>
      <c r="CR41" s="49"/>
      <c r="CS41" s="49"/>
      <c r="CT41" s="49"/>
      <c r="CU41" s="49"/>
      <c r="CV41" s="49"/>
      <c r="CW41" s="49"/>
      <c r="CX41" s="49"/>
      <c r="CY41" s="49"/>
      <c r="CZ41" s="49"/>
      <c r="DA41" s="49"/>
      <c r="DB41" s="49"/>
      <c r="DC41" s="49"/>
      <c r="DD41" s="49"/>
      <c r="DE41" s="49"/>
      <c r="DF41" s="49"/>
      <c r="DG41" s="49"/>
      <c r="DH41" s="49"/>
      <c r="DI41" s="49"/>
      <c r="DJ41" s="49"/>
      <c r="DK41" s="49"/>
      <c r="DL41" s="49"/>
      <c r="DM41" s="49"/>
      <c r="DN41" s="49"/>
      <c r="DO41" s="49"/>
      <c r="DP41" s="49"/>
      <c r="DQ41" s="49"/>
      <c r="DR41" s="49"/>
      <c r="DS41" s="49"/>
      <c r="DT41" s="49"/>
      <c r="DU41" s="49"/>
      <c r="DV41" s="49"/>
      <c r="DW41" s="49"/>
      <c r="DX41" s="49"/>
      <c r="DY41" s="49"/>
      <c r="DZ41" s="49"/>
      <c r="EA41" s="49"/>
      <c r="EB41" s="49"/>
      <c r="EC41" s="49"/>
      <c r="ED41" s="49"/>
      <c r="EE41" s="49"/>
      <c r="EF41" s="49"/>
      <c r="EG41" s="49"/>
      <c r="EH41" s="49"/>
      <c r="EI41" s="49"/>
      <c r="EJ41" s="49"/>
      <c r="EK41" s="49"/>
      <c r="EL41" s="49"/>
      <c r="EM41" s="49"/>
      <c r="EN41" s="49"/>
      <c r="EO41" s="49"/>
      <c r="EP41" s="49"/>
      <c r="EQ41" s="49"/>
      <c r="ER41" s="49"/>
      <c r="ES41" s="49"/>
      <c r="ET41" s="49"/>
      <c r="EU41" s="49"/>
      <c r="EV41" s="49"/>
      <c r="EW41" s="49"/>
      <c r="EX41" s="49"/>
      <c r="EY41" s="49"/>
      <c r="EZ41" s="49"/>
      <c r="FA41" s="49"/>
      <c r="FB41" s="49"/>
      <c r="FC41" s="49"/>
      <c r="FD41" s="49"/>
      <c r="FE41" s="49"/>
      <c r="FF41" s="49"/>
      <c r="FG41" s="49"/>
      <c r="FH41" s="49"/>
      <c r="FI41" s="49"/>
      <c r="FJ41" s="49"/>
      <c r="FK41" s="49"/>
      <c r="FL41" s="49"/>
      <c r="FM41" s="49"/>
      <c r="FN41" s="49"/>
      <c r="FO41" s="49"/>
      <c r="FP41" s="49"/>
      <c r="FQ41" s="49"/>
      <c r="FR41" s="49"/>
      <c r="FS41" s="49"/>
      <c r="FT41" s="49"/>
      <c r="FU41" s="49"/>
      <c r="FV41" s="49"/>
      <c r="FW41" s="49"/>
      <c r="FX41" s="49"/>
      <c r="FY41" s="49"/>
      <c r="FZ41" s="49"/>
      <c r="GA41" s="49"/>
      <c r="GB41" s="49"/>
      <c r="GC41" s="49"/>
      <c r="GD41" s="49"/>
      <c r="GE41" s="49"/>
      <c r="GF41" s="49"/>
      <c r="GG41" s="49"/>
      <c r="GH41" s="49"/>
      <c r="GI41" s="49"/>
      <c r="GJ41" s="49"/>
      <c r="GK41" s="49"/>
      <c r="GL41" s="49"/>
      <c r="GM41" s="49"/>
      <c r="GN41" s="49"/>
      <c r="GO41" s="49"/>
      <c r="GP41" s="49"/>
      <c r="GQ41" s="49"/>
      <c r="GR41" s="49"/>
      <c r="GS41" s="49"/>
      <c r="GT41" s="49"/>
      <c r="GU41" s="49"/>
      <c r="GV41" s="49"/>
      <c r="GW41" s="49"/>
      <c r="GX41" s="49"/>
      <c r="GY41" s="49"/>
      <c r="GZ41" s="49"/>
      <c r="HA41" s="49"/>
      <c r="HB41" s="49"/>
      <c r="HC41" s="49"/>
      <c r="HD41" s="49"/>
      <c r="HE41" s="49"/>
      <c r="HF41" s="49"/>
      <c r="HG41" s="49"/>
      <c r="HH41" s="49"/>
      <c r="HI41" s="49"/>
      <c r="HJ41" s="49"/>
      <c r="HK41" s="49"/>
      <c r="HL41" s="49"/>
      <c r="HM41" s="49"/>
      <c r="HN41" s="49"/>
      <c r="HO41" s="49"/>
      <c r="HP41" s="49"/>
      <c r="HQ41" s="49"/>
      <c r="HR41" s="49"/>
      <c r="HS41" s="49"/>
      <c r="HT41" s="49"/>
      <c r="HU41" s="49"/>
      <c r="HV41" s="49"/>
      <c r="HW41" s="49"/>
      <c r="HX41" s="49"/>
      <c r="HY41" s="49"/>
      <c r="HZ41" s="49"/>
    </row>
    <row r="42" spans="1:234" ht="17.5" x14ac:dyDescent="0.45">
      <c r="A42" s="269" t="s">
        <v>76</v>
      </c>
      <c r="B42" s="281">
        <v>1175</v>
      </c>
      <c r="C42" s="281">
        <v>441</v>
      </c>
      <c r="D42" s="281">
        <v>569</v>
      </c>
      <c r="E42" s="281">
        <v>3775</v>
      </c>
      <c r="F42" s="281">
        <v>36</v>
      </c>
      <c r="G42" s="281">
        <f t="shared" si="4"/>
        <v>3811</v>
      </c>
      <c r="H42" s="281">
        <v>900</v>
      </c>
      <c r="I42" s="281">
        <v>528</v>
      </c>
      <c r="J42" s="281">
        <f>Table26[[#This Row],[
FRIANT-KERN CANAL -KAWEAH DELTA WCD   1/
CLASS 1]]+Table26[[#This Row],[
FRIANT-KERN CANAL -KAWEAH DELTA WCD   1/
CLASS 2]]</f>
        <v>1428</v>
      </c>
      <c r="K42" s="63">
        <f t="shared" si="5"/>
        <v>6860</v>
      </c>
      <c r="L42" s="57"/>
      <c r="M42" s="63">
        <f t="shared" si="6"/>
        <v>1464</v>
      </c>
      <c r="N42" s="48"/>
      <c r="O42" s="48"/>
      <c r="P42" s="48"/>
      <c r="Q42" s="48"/>
      <c r="R42" s="48"/>
      <c r="S42" s="48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  <c r="AT42" s="49"/>
      <c r="AU42" s="49"/>
      <c r="AV42" s="49"/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/>
      <c r="BH42" s="49"/>
      <c r="BI42" s="49"/>
      <c r="BJ42" s="49"/>
      <c r="BK42" s="49"/>
      <c r="BL42" s="49"/>
      <c r="BM42" s="49"/>
      <c r="BN42" s="49"/>
      <c r="BO42" s="49"/>
      <c r="BP42" s="49"/>
      <c r="BQ42" s="49"/>
      <c r="BR42" s="49"/>
      <c r="BS42" s="49"/>
      <c r="BT42" s="49"/>
      <c r="BU42" s="49"/>
      <c r="BV42" s="49"/>
      <c r="BW42" s="49"/>
      <c r="BX42" s="49"/>
      <c r="BY42" s="49"/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49"/>
      <c r="CK42" s="49"/>
      <c r="CL42" s="49"/>
      <c r="CM42" s="49"/>
      <c r="CN42" s="49"/>
      <c r="CO42" s="49"/>
      <c r="CP42" s="49"/>
      <c r="CQ42" s="49"/>
      <c r="CR42" s="49"/>
      <c r="CS42" s="49"/>
      <c r="CT42" s="49"/>
      <c r="CU42" s="49"/>
      <c r="CV42" s="49"/>
      <c r="CW42" s="49"/>
      <c r="CX42" s="49"/>
      <c r="CY42" s="49"/>
      <c r="CZ42" s="49"/>
      <c r="DA42" s="49"/>
      <c r="DB42" s="49"/>
      <c r="DC42" s="49"/>
      <c r="DD42" s="49"/>
      <c r="DE42" s="49"/>
      <c r="DF42" s="49"/>
      <c r="DG42" s="49"/>
      <c r="DH42" s="49"/>
      <c r="DI42" s="49"/>
      <c r="DJ42" s="49"/>
      <c r="DK42" s="49"/>
      <c r="DL42" s="49"/>
      <c r="DM42" s="49"/>
      <c r="DN42" s="49"/>
      <c r="DO42" s="49"/>
      <c r="DP42" s="49"/>
      <c r="DQ42" s="49"/>
      <c r="DR42" s="49"/>
      <c r="DS42" s="49"/>
      <c r="DT42" s="49"/>
      <c r="DU42" s="49"/>
      <c r="DV42" s="49"/>
      <c r="DW42" s="49"/>
      <c r="DX42" s="49"/>
      <c r="DY42" s="49"/>
      <c r="DZ42" s="49"/>
      <c r="EA42" s="49"/>
      <c r="EB42" s="49"/>
      <c r="EC42" s="49"/>
      <c r="ED42" s="49"/>
      <c r="EE42" s="49"/>
      <c r="EF42" s="49"/>
      <c r="EG42" s="49"/>
      <c r="EH42" s="49"/>
      <c r="EI42" s="49"/>
      <c r="EJ42" s="49"/>
      <c r="EK42" s="49"/>
      <c r="EL42" s="49"/>
      <c r="EM42" s="49"/>
      <c r="EN42" s="49"/>
      <c r="EO42" s="49"/>
      <c r="EP42" s="49"/>
      <c r="EQ42" s="49"/>
      <c r="ER42" s="49"/>
      <c r="ES42" s="49"/>
      <c r="ET42" s="49"/>
      <c r="EU42" s="49"/>
      <c r="EV42" s="49"/>
      <c r="EW42" s="49"/>
      <c r="EX42" s="49"/>
      <c r="EY42" s="49"/>
      <c r="EZ42" s="49"/>
      <c r="FA42" s="49"/>
      <c r="FB42" s="49"/>
      <c r="FC42" s="49"/>
      <c r="FD42" s="49"/>
      <c r="FE42" s="49"/>
      <c r="FF42" s="49"/>
      <c r="FG42" s="49"/>
      <c r="FH42" s="49"/>
      <c r="FI42" s="49"/>
      <c r="FJ42" s="49"/>
      <c r="FK42" s="49"/>
      <c r="FL42" s="49"/>
      <c r="FM42" s="49"/>
      <c r="FN42" s="49"/>
      <c r="FO42" s="49"/>
      <c r="FP42" s="49"/>
      <c r="FQ42" s="49"/>
      <c r="FR42" s="49"/>
      <c r="FS42" s="49"/>
      <c r="FT42" s="49"/>
      <c r="FU42" s="49"/>
      <c r="FV42" s="49"/>
      <c r="FW42" s="49"/>
      <c r="FX42" s="49"/>
      <c r="FY42" s="49"/>
      <c r="FZ42" s="49"/>
      <c r="GA42" s="49"/>
      <c r="GB42" s="49"/>
      <c r="GC42" s="49"/>
      <c r="GD42" s="49"/>
      <c r="GE42" s="49"/>
      <c r="GF42" s="49"/>
      <c r="GG42" s="49"/>
      <c r="GH42" s="49"/>
      <c r="GI42" s="49"/>
      <c r="GJ42" s="49"/>
      <c r="GK42" s="49"/>
      <c r="GL42" s="49"/>
      <c r="GM42" s="49"/>
      <c r="GN42" s="49"/>
      <c r="GO42" s="49"/>
      <c r="GP42" s="49"/>
      <c r="GQ42" s="49"/>
      <c r="GR42" s="49"/>
      <c r="GS42" s="49"/>
      <c r="GT42" s="49"/>
      <c r="GU42" s="49"/>
      <c r="GV42" s="49"/>
      <c r="GW42" s="49"/>
      <c r="GX42" s="49"/>
      <c r="GY42" s="49"/>
      <c r="GZ42" s="49"/>
      <c r="HA42" s="49"/>
      <c r="HB42" s="49"/>
      <c r="HC42" s="49"/>
      <c r="HD42" s="49"/>
      <c r="HE42" s="49"/>
      <c r="HF42" s="49"/>
      <c r="HG42" s="49"/>
      <c r="HH42" s="49"/>
      <c r="HI42" s="49"/>
      <c r="HJ42" s="49"/>
      <c r="HK42" s="49"/>
      <c r="HL42" s="49"/>
      <c r="HM42" s="49"/>
      <c r="HN42" s="49"/>
      <c r="HO42" s="49"/>
      <c r="HP42" s="49"/>
      <c r="HQ42" s="49"/>
      <c r="HR42" s="49"/>
      <c r="HS42" s="49"/>
      <c r="HT42" s="49"/>
      <c r="HU42" s="49"/>
      <c r="HV42" s="49"/>
      <c r="HW42" s="49"/>
      <c r="HX42" s="49"/>
      <c r="HY42" s="49"/>
      <c r="HZ42" s="49"/>
    </row>
    <row r="43" spans="1:234" ht="17.5" x14ac:dyDescent="0.45">
      <c r="A43" s="269" t="s">
        <v>77</v>
      </c>
      <c r="B43" s="281">
        <v>1356</v>
      </c>
      <c r="C43" s="281">
        <v>724</v>
      </c>
      <c r="D43" s="281">
        <v>618</v>
      </c>
      <c r="E43" s="281">
        <v>5764</v>
      </c>
      <c r="F43" s="281">
        <v>500</v>
      </c>
      <c r="G43" s="281">
        <f t="shared" si="4"/>
        <v>6264</v>
      </c>
      <c r="H43" s="284">
        <v>60</v>
      </c>
      <c r="I43" s="281">
        <v>7400</v>
      </c>
      <c r="J43" s="281">
        <f>Table26[[#This Row],[
FRIANT-KERN CANAL -KAWEAH DELTA WCD   1/
CLASS 1]]+Table26[[#This Row],[
FRIANT-KERN CANAL -KAWEAH DELTA WCD   1/
CLASS 2]]</f>
        <v>7460</v>
      </c>
      <c r="K43" s="63">
        <f t="shared" si="5"/>
        <v>8522</v>
      </c>
      <c r="L43" s="57"/>
      <c r="M43" s="63">
        <f t="shared" si="6"/>
        <v>7960</v>
      </c>
      <c r="N43" s="48"/>
      <c r="O43" s="48"/>
      <c r="P43" s="48"/>
      <c r="Q43" s="48"/>
      <c r="R43" s="48"/>
      <c r="S43" s="48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  <c r="AT43" s="49"/>
      <c r="AU43" s="49"/>
      <c r="AV43" s="49"/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/>
      <c r="BH43" s="49"/>
      <c r="BI43" s="49"/>
      <c r="BJ43" s="49"/>
      <c r="BK43" s="49"/>
      <c r="BL43" s="49"/>
      <c r="BM43" s="49"/>
      <c r="BN43" s="49"/>
      <c r="BO43" s="49"/>
      <c r="BP43" s="49"/>
      <c r="BQ43" s="49"/>
      <c r="BR43" s="49"/>
      <c r="BS43" s="49"/>
      <c r="BT43" s="49"/>
      <c r="BU43" s="49"/>
      <c r="BV43" s="49"/>
      <c r="BW43" s="49"/>
      <c r="BX43" s="49"/>
      <c r="BY43" s="49"/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49"/>
      <c r="CK43" s="49"/>
      <c r="CL43" s="49"/>
      <c r="CM43" s="49"/>
      <c r="CN43" s="49"/>
      <c r="CO43" s="49"/>
      <c r="CP43" s="49"/>
      <c r="CQ43" s="49"/>
      <c r="CR43" s="49"/>
      <c r="CS43" s="49"/>
      <c r="CT43" s="49"/>
      <c r="CU43" s="49"/>
      <c r="CV43" s="49"/>
      <c r="CW43" s="49"/>
      <c r="CX43" s="49"/>
      <c r="CY43" s="49"/>
      <c r="CZ43" s="49"/>
      <c r="DA43" s="49"/>
      <c r="DB43" s="49"/>
      <c r="DC43" s="49"/>
      <c r="DD43" s="49"/>
      <c r="DE43" s="49"/>
      <c r="DF43" s="49"/>
      <c r="DG43" s="49"/>
      <c r="DH43" s="49"/>
      <c r="DI43" s="49"/>
      <c r="DJ43" s="49"/>
      <c r="DK43" s="49"/>
      <c r="DL43" s="49"/>
      <c r="DM43" s="49"/>
      <c r="DN43" s="49"/>
      <c r="DO43" s="49"/>
      <c r="DP43" s="49"/>
      <c r="DQ43" s="49"/>
      <c r="DR43" s="49"/>
      <c r="DS43" s="49"/>
      <c r="DT43" s="49"/>
      <c r="DU43" s="49"/>
      <c r="DV43" s="49"/>
      <c r="DW43" s="49"/>
      <c r="DX43" s="49"/>
      <c r="DY43" s="49"/>
      <c r="DZ43" s="49"/>
      <c r="EA43" s="49"/>
      <c r="EB43" s="49"/>
      <c r="EC43" s="49"/>
      <c r="ED43" s="49"/>
      <c r="EE43" s="49"/>
      <c r="EF43" s="49"/>
      <c r="EG43" s="49"/>
      <c r="EH43" s="49"/>
      <c r="EI43" s="49"/>
      <c r="EJ43" s="49"/>
      <c r="EK43" s="49"/>
      <c r="EL43" s="49"/>
      <c r="EM43" s="49"/>
      <c r="EN43" s="49"/>
      <c r="EO43" s="49"/>
      <c r="EP43" s="49"/>
      <c r="EQ43" s="49"/>
      <c r="ER43" s="49"/>
      <c r="ES43" s="49"/>
      <c r="ET43" s="49"/>
      <c r="EU43" s="49"/>
      <c r="EV43" s="49"/>
      <c r="EW43" s="49"/>
      <c r="EX43" s="49"/>
      <c r="EY43" s="49"/>
      <c r="EZ43" s="49"/>
      <c r="FA43" s="49"/>
      <c r="FB43" s="49"/>
      <c r="FC43" s="49"/>
      <c r="FD43" s="49"/>
      <c r="FE43" s="49"/>
      <c r="FF43" s="49"/>
      <c r="FG43" s="49"/>
      <c r="FH43" s="49"/>
      <c r="FI43" s="49"/>
      <c r="FJ43" s="49"/>
      <c r="FK43" s="49"/>
      <c r="FL43" s="49"/>
      <c r="FM43" s="49"/>
      <c r="FN43" s="49"/>
      <c r="FO43" s="49"/>
      <c r="FP43" s="49"/>
      <c r="FQ43" s="49"/>
      <c r="FR43" s="49"/>
      <c r="FS43" s="49"/>
      <c r="FT43" s="49"/>
      <c r="FU43" s="49"/>
      <c r="FV43" s="49"/>
      <c r="FW43" s="49"/>
      <c r="FX43" s="49"/>
      <c r="FY43" s="49"/>
      <c r="FZ43" s="49"/>
      <c r="GA43" s="49"/>
      <c r="GB43" s="49"/>
      <c r="GC43" s="49"/>
      <c r="GD43" s="49"/>
      <c r="GE43" s="49"/>
      <c r="GF43" s="49"/>
      <c r="GG43" s="49"/>
      <c r="GH43" s="49"/>
      <c r="GI43" s="49"/>
      <c r="GJ43" s="49"/>
      <c r="GK43" s="49"/>
      <c r="GL43" s="49"/>
      <c r="GM43" s="49"/>
      <c r="GN43" s="49"/>
      <c r="GO43" s="49"/>
      <c r="GP43" s="49"/>
      <c r="GQ43" s="49"/>
      <c r="GR43" s="49"/>
      <c r="GS43" s="49"/>
      <c r="GT43" s="49"/>
      <c r="GU43" s="49"/>
      <c r="GV43" s="49"/>
      <c r="GW43" s="49"/>
      <c r="GX43" s="49"/>
      <c r="GY43" s="49"/>
      <c r="GZ43" s="49"/>
      <c r="HA43" s="49"/>
      <c r="HB43" s="49"/>
      <c r="HC43" s="49"/>
      <c r="HD43" s="49"/>
      <c r="HE43" s="49"/>
      <c r="HF43" s="49"/>
      <c r="HG43" s="49"/>
      <c r="HH43" s="49"/>
      <c r="HI43" s="49"/>
      <c r="HJ43" s="49"/>
      <c r="HK43" s="49"/>
      <c r="HL43" s="49"/>
      <c r="HM43" s="49"/>
      <c r="HN43" s="49"/>
      <c r="HO43" s="49"/>
      <c r="HP43" s="49"/>
      <c r="HQ43" s="49"/>
      <c r="HR43" s="49"/>
      <c r="HS43" s="49"/>
      <c r="HT43" s="49"/>
      <c r="HU43" s="49"/>
      <c r="HV43" s="49"/>
      <c r="HW43" s="49"/>
      <c r="HX43" s="49"/>
      <c r="HY43" s="49"/>
      <c r="HZ43" s="49"/>
    </row>
    <row r="44" spans="1:234" ht="17.5" x14ac:dyDescent="0.45">
      <c r="A44" s="269" t="s">
        <v>78</v>
      </c>
      <c r="B44" s="281">
        <v>3290</v>
      </c>
      <c r="C44" s="281">
        <v>1560</v>
      </c>
      <c r="D44" s="281">
        <v>1178</v>
      </c>
      <c r="E44" s="281">
        <v>6070</v>
      </c>
      <c r="F44" s="281">
        <v>49</v>
      </c>
      <c r="G44" s="281">
        <f t="shared" si="4"/>
        <v>6119</v>
      </c>
      <c r="H44" s="284">
        <v>2196</v>
      </c>
      <c r="I44" s="281">
        <v>686</v>
      </c>
      <c r="J44" s="281">
        <f>Table26[[#This Row],[
FRIANT-KERN CANAL -KAWEAH DELTA WCD   1/
CLASS 1]]+Table26[[#This Row],[
FRIANT-KERN CANAL -KAWEAH DELTA WCD   1/
CLASS 2]]</f>
        <v>2882</v>
      </c>
      <c r="K44" s="63">
        <f t="shared" si="5"/>
        <v>14294</v>
      </c>
      <c r="L44" s="57"/>
      <c r="M44" s="63">
        <f t="shared" si="6"/>
        <v>2931</v>
      </c>
      <c r="N44" s="48"/>
      <c r="O44" s="48"/>
      <c r="P44" s="48"/>
      <c r="Q44" s="48"/>
      <c r="R44" s="48"/>
      <c r="S44" s="48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  <c r="AT44" s="49"/>
      <c r="AU44" s="49"/>
      <c r="AV44" s="49"/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/>
      <c r="BH44" s="49"/>
      <c r="BI44" s="49"/>
      <c r="BJ44" s="49"/>
      <c r="BK44" s="49"/>
      <c r="BL44" s="49"/>
      <c r="BM44" s="49"/>
      <c r="BN44" s="49"/>
      <c r="BO44" s="49"/>
      <c r="BP44" s="49"/>
      <c r="BQ44" s="49"/>
      <c r="BR44" s="49"/>
      <c r="BS44" s="49"/>
      <c r="BT44" s="49"/>
      <c r="BU44" s="49"/>
      <c r="BV44" s="49"/>
      <c r="BW44" s="49"/>
      <c r="BX44" s="49"/>
      <c r="BY44" s="49"/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49"/>
      <c r="CK44" s="49"/>
      <c r="CL44" s="49"/>
      <c r="CM44" s="49"/>
      <c r="CN44" s="49"/>
      <c r="CO44" s="49"/>
      <c r="CP44" s="49"/>
      <c r="CQ44" s="49"/>
      <c r="CR44" s="49"/>
      <c r="CS44" s="49"/>
      <c r="CT44" s="49"/>
      <c r="CU44" s="49"/>
      <c r="CV44" s="49"/>
      <c r="CW44" s="49"/>
      <c r="CX44" s="49"/>
      <c r="CY44" s="49"/>
      <c r="CZ44" s="49"/>
      <c r="DA44" s="49"/>
      <c r="DB44" s="49"/>
      <c r="DC44" s="49"/>
      <c r="DD44" s="49"/>
      <c r="DE44" s="49"/>
      <c r="DF44" s="49"/>
      <c r="DG44" s="49"/>
      <c r="DH44" s="49"/>
      <c r="DI44" s="49"/>
      <c r="DJ44" s="49"/>
      <c r="DK44" s="49"/>
      <c r="DL44" s="49"/>
      <c r="DM44" s="49"/>
      <c r="DN44" s="49"/>
      <c r="DO44" s="49"/>
      <c r="DP44" s="49"/>
      <c r="DQ44" s="49"/>
      <c r="DR44" s="49"/>
      <c r="DS44" s="49"/>
      <c r="DT44" s="49"/>
      <c r="DU44" s="49"/>
      <c r="DV44" s="49"/>
      <c r="DW44" s="49"/>
      <c r="DX44" s="49"/>
      <c r="DY44" s="49"/>
      <c r="DZ44" s="49"/>
      <c r="EA44" s="49"/>
      <c r="EB44" s="49"/>
      <c r="EC44" s="49"/>
      <c r="ED44" s="49"/>
      <c r="EE44" s="49"/>
      <c r="EF44" s="49"/>
      <c r="EG44" s="49"/>
      <c r="EH44" s="49"/>
      <c r="EI44" s="49"/>
      <c r="EJ44" s="49"/>
      <c r="EK44" s="49"/>
      <c r="EL44" s="49"/>
      <c r="EM44" s="49"/>
      <c r="EN44" s="49"/>
      <c r="EO44" s="49"/>
      <c r="EP44" s="49"/>
      <c r="EQ44" s="49"/>
      <c r="ER44" s="49"/>
      <c r="ES44" s="49"/>
      <c r="ET44" s="49"/>
      <c r="EU44" s="49"/>
      <c r="EV44" s="49"/>
      <c r="EW44" s="49"/>
      <c r="EX44" s="49"/>
      <c r="EY44" s="49"/>
      <c r="EZ44" s="49"/>
      <c r="FA44" s="49"/>
      <c r="FB44" s="49"/>
      <c r="FC44" s="49"/>
      <c r="FD44" s="49"/>
      <c r="FE44" s="49"/>
      <c r="FF44" s="49"/>
      <c r="FG44" s="49"/>
      <c r="FH44" s="49"/>
      <c r="FI44" s="49"/>
      <c r="FJ44" s="49"/>
      <c r="FK44" s="49"/>
      <c r="FL44" s="49"/>
      <c r="FM44" s="49"/>
      <c r="FN44" s="49"/>
      <c r="FO44" s="49"/>
      <c r="FP44" s="49"/>
      <c r="FQ44" s="49"/>
      <c r="FR44" s="49"/>
      <c r="FS44" s="49"/>
      <c r="FT44" s="49"/>
      <c r="FU44" s="49"/>
      <c r="FV44" s="49"/>
      <c r="FW44" s="49"/>
      <c r="FX44" s="49"/>
      <c r="FY44" s="49"/>
      <c r="FZ44" s="49"/>
      <c r="GA44" s="49"/>
      <c r="GB44" s="49"/>
      <c r="GC44" s="49"/>
      <c r="GD44" s="49"/>
      <c r="GE44" s="49"/>
      <c r="GF44" s="49"/>
      <c r="GG44" s="49"/>
      <c r="GH44" s="49"/>
      <c r="GI44" s="49"/>
      <c r="GJ44" s="49"/>
      <c r="GK44" s="49"/>
      <c r="GL44" s="49"/>
      <c r="GM44" s="49"/>
      <c r="GN44" s="49"/>
      <c r="GO44" s="49"/>
      <c r="GP44" s="49"/>
      <c r="GQ44" s="49"/>
      <c r="GR44" s="49"/>
      <c r="GS44" s="49"/>
      <c r="GT44" s="49"/>
      <c r="GU44" s="49"/>
      <c r="GV44" s="49"/>
      <c r="GW44" s="49"/>
      <c r="GX44" s="49"/>
      <c r="GY44" s="49"/>
      <c r="GZ44" s="49"/>
      <c r="HA44" s="49"/>
      <c r="HB44" s="49"/>
      <c r="HC44" s="49"/>
      <c r="HD44" s="49"/>
      <c r="HE44" s="49"/>
      <c r="HF44" s="49"/>
      <c r="HG44" s="49"/>
      <c r="HH44" s="49"/>
      <c r="HI44" s="49"/>
      <c r="HJ44" s="49"/>
      <c r="HK44" s="49"/>
      <c r="HL44" s="49"/>
      <c r="HM44" s="49"/>
      <c r="HN44" s="49"/>
      <c r="HO44" s="49"/>
      <c r="HP44" s="49"/>
      <c r="HQ44" s="49"/>
      <c r="HR44" s="49"/>
      <c r="HS44" s="49"/>
      <c r="HT44" s="49"/>
      <c r="HU44" s="49"/>
      <c r="HV44" s="49"/>
      <c r="HW44" s="49"/>
      <c r="HX44" s="49"/>
      <c r="HY44" s="49"/>
      <c r="HZ44" s="49"/>
    </row>
    <row r="45" spans="1:234" ht="17.5" x14ac:dyDescent="0.45">
      <c r="A45" s="269" t="s">
        <v>79</v>
      </c>
      <c r="B45" s="281">
        <v>1423</v>
      </c>
      <c r="C45" s="281">
        <v>1226</v>
      </c>
      <c r="D45" s="281">
        <v>1059</v>
      </c>
      <c r="E45" s="281">
        <v>4947</v>
      </c>
      <c r="F45" s="281">
        <v>500</v>
      </c>
      <c r="G45" s="281">
        <f t="shared" si="4"/>
        <v>5447</v>
      </c>
      <c r="H45" s="284">
        <v>1200</v>
      </c>
      <c r="I45" s="281">
        <v>7413</v>
      </c>
      <c r="J45" s="281">
        <f>Table26[[#This Row],[
FRIANT-KERN CANAL -KAWEAH DELTA WCD   1/
CLASS 1]]+Table26[[#This Row],[
FRIANT-KERN CANAL -KAWEAH DELTA WCD   1/
CLASS 2]]</f>
        <v>8613</v>
      </c>
      <c r="K45" s="63">
        <f t="shared" si="5"/>
        <v>9855</v>
      </c>
      <c r="L45" s="57"/>
      <c r="M45" s="63">
        <f t="shared" si="6"/>
        <v>9113</v>
      </c>
      <c r="N45" s="48"/>
      <c r="O45" s="48"/>
      <c r="P45" s="48"/>
      <c r="Q45" s="48"/>
      <c r="R45" s="48"/>
      <c r="S45" s="48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  <c r="AT45" s="49"/>
      <c r="AU45" s="49"/>
      <c r="AV45" s="49"/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/>
      <c r="BH45" s="49"/>
      <c r="BI45" s="49"/>
      <c r="BJ45" s="49"/>
      <c r="BK45" s="49"/>
      <c r="BL45" s="49"/>
      <c r="BM45" s="49"/>
      <c r="BN45" s="49"/>
      <c r="BO45" s="49"/>
      <c r="BP45" s="49"/>
      <c r="BQ45" s="49"/>
      <c r="BR45" s="49"/>
      <c r="BS45" s="49"/>
      <c r="BT45" s="49"/>
      <c r="BU45" s="49"/>
      <c r="BV45" s="49"/>
      <c r="BW45" s="49"/>
      <c r="BX45" s="49"/>
      <c r="BY45" s="49"/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49"/>
      <c r="CK45" s="49"/>
      <c r="CL45" s="49"/>
      <c r="CM45" s="49"/>
      <c r="CN45" s="49"/>
      <c r="CO45" s="49"/>
      <c r="CP45" s="49"/>
      <c r="CQ45" s="49"/>
      <c r="CR45" s="49"/>
      <c r="CS45" s="49"/>
      <c r="CT45" s="49"/>
      <c r="CU45" s="49"/>
      <c r="CV45" s="49"/>
      <c r="CW45" s="49"/>
      <c r="CX45" s="49"/>
      <c r="CY45" s="49"/>
      <c r="CZ45" s="49"/>
      <c r="DA45" s="49"/>
      <c r="DB45" s="49"/>
      <c r="DC45" s="49"/>
      <c r="DD45" s="49"/>
      <c r="DE45" s="49"/>
      <c r="DF45" s="49"/>
      <c r="DG45" s="49"/>
      <c r="DH45" s="49"/>
      <c r="DI45" s="49"/>
      <c r="DJ45" s="49"/>
      <c r="DK45" s="49"/>
      <c r="DL45" s="49"/>
      <c r="DM45" s="49"/>
      <c r="DN45" s="49"/>
      <c r="DO45" s="49"/>
      <c r="DP45" s="49"/>
      <c r="DQ45" s="49"/>
      <c r="DR45" s="49"/>
      <c r="DS45" s="49"/>
      <c r="DT45" s="49"/>
      <c r="DU45" s="49"/>
      <c r="DV45" s="49"/>
      <c r="DW45" s="49"/>
      <c r="DX45" s="49"/>
      <c r="DY45" s="49"/>
      <c r="DZ45" s="49"/>
      <c r="EA45" s="49"/>
      <c r="EB45" s="49"/>
      <c r="EC45" s="49"/>
      <c r="ED45" s="49"/>
      <c r="EE45" s="49"/>
      <c r="EF45" s="49"/>
      <c r="EG45" s="49"/>
      <c r="EH45" s="49"/>
      <c r="EI45" s="49"/>
      <c r="EJ45" s="49"/>
      <c r="EK45" s="49"/>
      <c r="EL45" s="49"/>
      <c r="EM45" s="49"/>
      <c r="EN45" s="49"/>
      <c r="EO45" s="49"/>
      <c r="EP45" s="49"/>
      <c r="EQ45" s="49"/>
      <c r="ER45" s="49"/>
      <c r="ES45" s="49"/>
      <c r="ET45" s="49"/>
      <c r="EU45" s="49"/>
      <c r="EV45" s="49"/>
      <c r="EW45" s="49"/>
      <c r="EX45" s="49"/>
      <c r="EY45" s="49"/>
      <c r="EZ45" s="49"/>
      <c r="FA45" s="49"/>
      <c r="FB45" s="49"/>
      <c r="FC45" s="49"/>
      <c r="FD45" s="49"/>
      <c r="FE45" s="49"/>
      <c r="FF45" s="49"/>
      <c r="FG45" s="49"/>
      <c r="FH45" s="49"/>
      <c r="FI45" s="49"/>
      <c r="FJ45" s="49"/>
      <c r="FK45" s="49"/>
      <c r="FL45" s="49"/>
      <c r="FM45" s="49"/>
      <c r="FN45" s="49"/>
      <c r="FO45" s="49"/>
      <c r="FP45" s="49"/>
      <c r="FQ45" s="49"/>
      <c r="FR45" s="49"/>
      <c r="FS45" s="49"/>
      <c r="FT45" s="49"/>
      <c r="FU45" s="49"/>
      <c r="FV45" s="49"/>
      <c r="FW45" s="49"/>
      <c r="FX45" s="49"/>
      <c r="FY45" s="49"/>
      <c r="FZ45" s="49"/>
      <c r="GA45" s="49"/>
      <c r="GB45" s="49"/>
      <c r="GC45" s="49"/>
      <c r="GD45" s="49"/>
      <c r="GE45" s="49"/>
      <c r="GF45" s="49"/>
      <c r="GG45" s="49"/>
      <c r="GH45" s="49"/>
      <c r="GI45" s="49"/>
      <c r="GJ45" s="49"/>
      <c r="GK45" s="49"/>
      <c r="GL45" s="49"/>
      <c r="GM45" s="49"/>
      <c r="GN45" s="49"/>
      <c r="GO45" s="49"/>
      <c r="GP45" s="49"/>
      <c r="GQ45" s="49"/>
      <c r="GR45" s="49"/>
      <c r="GS45" s="49"/>
      <c r="GT45" s="49"/>
      <c r="GU45" s="49"/>
      <c r="GV45" s="49"/>
      <c r="GW45" s="49"/>
      <c r="GX45" s="49"/>
      <c r="GY45" s="49"/>
      <c r="GZ45" s="49"/>
      <c r="HA45" s="49"/>
      <c r="HB45" s="49"/>
      <c r="HC45" s="49"/>
      <c r="HD45" s="49"/>
      <c r="HE45" s="49"/>
      <c r="HF45" s="49"/>
      <c r="HG45" s="49"/>
      <c r="HH45" s="49"/>
      <c r="HI45" s="49"/>
      <c r="HJ45" s="49"/>
      <c r="HK45" s="49"/>
      <c r="HL45" s="49"/>
      <c r="HM45" s="49"/>
      <c r="HN45" s="49"/>
      <c r="HO45" s="49"/>
      <c r="HP45" s="49"/>
      <c r="HQ45" s="49"/>
      <c r="HR45" s="49"/>
      <c r="HS45" s="49"/>
      <c r="HT45" s="49"/>
      <c r="HU45" s="49"/>
      <c r="HV45" s="49"/>
      <c r="HW45" s="49"/>
      <c r="HX45" s="49"/>
      <c r="HY45" s="49"/>
      <c r="HZ45" s="49"/>
    </row>
    <row r="46" spans="1:234" ht="17.5" x14ac:dyDescent="0.45">
      <c r="A46" s="269" t="s">
        <v>80</v>
      </c>
      <c r="B46" s="281">
        <v>3491</v>
      </c>
      <c r="C46" s="281">
        <v>1104</v>
      </c>
      <c r="D46" s="281">
        <v>733</v>
      </c>
      <c r="E46" s="281">
        <v>4953</v>
      </c>
      <c r="F46" s="281">
        <v>0</v>
      </c>
      <c r="G46" s="281">
        <f t="shared" si="4"/>
        <v>4953</v>
      </c>
      <c r="H46" s="284">
        <v>0</v>
      </c>
      <c r="I46" s="281">
        <v>0</v>
      </c>
      <c r="J46" s="281">
        <f>Table26[[#This Row],[
FRIANT-KERN CANAL -KAWEAH DELTA WCD   1/
CLASS 1]]+Table26[[#This Row],[
FRIANT-KERN CANAL -KAWEAH DELTA WCD   1/
CLASS 2]]</f>
        <v>0</v>
      </c>
      <c r="K46" s="63">
        <f t="shared" si="5"/>
        <v>10281</v>
      </c>
      <c r="L46" s="57"/>
      <c r="M46" s="63">
        <f t="shared" si="6"/>
        <v>0</v>
      </c>
      <c r="N46" s="48"/>
      <c r="O46" s="48"/>
      <c r="P46" s="48"/>
      <c r="Q46" s="48"/>
      <c r="R46" s="48"/>
      <c r="S46" s="48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/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/>
      <c r="BH46" s="49"/>
      <c r="BI46" s="49"/>
      <c r="BJ46" s="49"/>
      <c r="BK46" s="49"/>
      <c r="BL46" s="49"/>
      <c r="BM46" s="49"/>
      <c r="BN46" s="49"/>
      <c r="BO46" s="49"/>
      <c r="BP46" s="49"/>
      <c r="BQ46" s="49"/>
      <c r="BR46" s="49"/>
      <c r="BS46" s="49"/>
      <c r="BT46" s="49"/>
      <c r="BU46" s="49"/>
      <c r="BV46" s="49"/>
      <c r="BW46" s="49"/>
      <c r="BX46" s="49"/>
      <c r="BY46" s="49"/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49"/>
      <c r="CK46" s="49"/>
      <c r="CL46" s="49"/>
      <c r="CM46" s="49"/>
      <c r="CN46" s="49"/>
      <c r="CO46" s="49"/>
      <c r="CP46" s="49"/>
      <c r="CQ46" s="49"/>
      <c r="CR46" s="49"/>
      <c r="CS46" s="49"/>
      <c r="CT46" s="49"/>
      <c r="CU46" s="49"/>
      <c r="CV46" s="49"/>
      <c r="CW46" s="49"/>
      <c r="CX46" s="49"/>
      <c r="CY46" s="49"/>
      <c r="CZ46" s="49"/>
      <c r="DA46" s="49"/>
      <c r="DB46" s="49"/>
      <c r="DC46" s="49"/>
      <c r="DD46" s="49"/>
      <c r="DE46" s="49"/>
      <c r="DF46" s="49"/>
      <c r="DG46" s="49"/>
      <c r="DH46" s="49"/>
      <c r="DI46" s="49"/>
      <c r="DJ46" s="49"/>
      <c r="DK46" s="49"/>
      <c r="DL46" s="49"/>
      <c r="DM46" s="49"/>
      <c r="DN46" s="49"/>
      <c r="DO46" s="49"/>
      <c r="DP46" s="49"/>
      <c r="DQ46" s="49"/>
      <c r="DR46" s="49"/>
      <c r="DS46" s="49"/>
      <c r="DT46" s="49"/>
      <c r="DU46" s="49"/>
      <c r="DV46" s="49"/>
      <c r="DW46" s="49"/>
      <c r="DX46" s="49"/>
      <c r="DY46" s="49"/>
      <c r="DZ46" s="49"/>
      <c r="EA46" s="49"/>
      <c r="EB46" s="49"/>
      <c r="EC46" s="49"/>
      <c r="ED46" s="49"/>
      <c r="EE46" s="49"/>
      <c r="EF46" s="49"/>
      <c r="EG46" s="49"/>
      <c r="EH46" s="49"/>
      <c r="EI46" s="49"/>
      <c r="EJ46" s="49"/>
      <c r="EK46" s="49"/>
      <c r="EL46" s="49"/>
      <c r="EM46" s="49"/>
      <c r="EN46" s="49"/>
      <c r="EO46" s="49"/>
      <c r="EP46" s="49"/>
      <c r="EQ46" s="49"/>
      <c r="ER46" s="49"/>
      <c r="ES46" s="49"/>
      <c r="ET46" s="49"/>
      <c r="EU46" s="49"/>
      <c r="EV46" s="49"/>
      <c r="EW46" s="49"/>
      <c r="EX46" s="49"/>
      <c r="EY46" s="49"/>
      <c r="EZ46" s="49"/>
      <c r="FA46" s="49"/>
      <c r="FB46" s="49"/>
      <c r="FC46" s="49"/>
      <c r="FD46" s="49"/>
      <c r="FE46" s="49"/>
      <c r="FF46" s="49"/>
      <c r="FG46" s="49"/>
      <c r="FH46" s="49"/>
      <c r="FI46" s="49"/>
      <c r="FJ46" s="49"/>
      <c r="FK46" s="49"/>
      <c r="FL46" s="49"/>
      <c r="FM46" s="49"/>
      <c r="FN46" s="49"/>
      <c r="FO46" s="49"/>
      <c r="FP46" s="49"/>
      <c r="FQ46" s="49"/>
      <c r="FR46" s="49"/>
      <c r="FS46" s="49"/>
      <c r="FT46" s="49"/>
      <c r="FU46" s="49"/>
      <c r="FV46" s="49"/>
      <c r="FW46" s="49"/>
      <c r="FX46" s="49"/>
      <c r="FY46" s="49"/>
      <c r="FZ46" s="49"/>
      <c r="GA46" s="49"/>
      <c r="GB46" s="49"/>
      <c r="GC46" s="49"/>
      <c r="GD46" s="49"/>
      <c r="GE46" s="49"/>
      <c r="GF46" s="49"/>
      <c r="GG46" s="49"/>
      <c r="GH46" s="49"/>
      <c r="GI46" s="49"/>
      <c r="GJ46" s="49"/>
      <c r="GK46" s="49"/>
      <c r="GL46" s="49"/>
      <c r="GM46" s="49"/>
      <c r="GN46" s="49"/>
      <c r="GO46" s="49"/>
      <c r="GP46" s="49"/>
      <c r="GQ46" s="49"/>
      <c r="GR46" s="49"/>
      <c r="GS46" s="49"/>
      <c r="GT46" s="49"/>
      <c r="GU46" s="49"/>
      <c r="GV46" s="49"/>
      <c r="GW46" s="49"/>
      <c r="GX46" s="49"/>
      <c r="GY46" s="49"/>
      <c r="GZ46" s="49"/>
      <c r="HA46" s="49"/>
      <c r="HB46" s="49"/>
      <c r="HC46" s="49"/>
      <c r="HD46" s="49"/>
      <c r="HE46" s="49"/>
      <c r="HF46" s="49"/>
      <c r="HG46" s="49"/>
      <c r="HH46" s="49"/>
      <c r="HI46" s="49"/>
      <c r="HJ46" s="49"/>
      <c r="HK46" s="49"/>
      <c r="HL46" s="49"/>
      <c r="HM46" s="49"/>
      <c r="HN46" s="49"/>
      <c r="HO46" s="49"/>
      <c r="HP46" s="49"/>
      <c r="HQ46" s="49"/>
      <c r="HR46" s="49"/>
      <c r="HS46" s="49"/>
      <c r="HT46" s="49"/>
      <c r="HU46" s="49"/>
      <c r="HV46" s="49"/>
      <c r="HW46" s="49"/>
      <c r="HX46" s="49"/>
      <c r="HY46" s="49"/>
      <c r="HZ46" s="49"/>
    </row>
    <row r="47" spans="1:234" ht="17.5" x14ac:dyDescent="0.45">
      <c r="A47" s="269" t="s">
        <v>81</v>
      </c>
      <c r="B47" s="281">
        <f>[1]ActualDeliveries!E$91</f>
        <v>187</v>
      </c>
      <c r="C47" s="281">
        <f>[1]ActualDeliveries!E$92</f>
        <v>270</v>
      </c>
      <c r="D47" s="281">
        <f>[1]ActualDeliveries!E$93</f>
        <v>297</v>
      </c>
      <c r="E47" s="281">
        <f>[1]ActualDeliveries!E$94</f>
        <v>2800</v>
      </c>
      <c r="F47" s="281">
        <f>[1]ActualDeliveries!E$118</f>
        <v>0</v>
      </c>
      <c r="G47" s="281">
        <f t="shared" si="4"/>
        <v>2800</v>
      </c>
      <c r="H47" s="284">
        <f>[1]ActualDeliveries!E$95</f>
        <v>0</v>
      </c>
      <c r="I47" s="281">
        <f>[1]ActualDeliveries!D$119</f>
        <v>0</v>
      </c>
      <c r="J47" s="281">
        <f>Table26[[#This Row],[
FRIANT-KERN CANAL -KAWEAH DELTA WCD   1/
CLASS 1]]+Table26[[#This Row],[
FRIANT-KERN CANAL -KAWEAH DELTA WCD   1/
CLASS 2]]</f>
        <v>0</v>
      </c>
      <c r="K47" s="63">
        <f t="shared" si="5"/>
        <v>3554</v>
      </c>
      <c r="L47" s="57"/>
      <c r="M47" s="63">
        <f t="shared" si="6"/>
        <v>0</v>
      </c>
      <c r="N47" s="48"/>
      <c r="O47" s="48"/>
      <c r="P47" s="48"/>
      <c r="Q47" s="48"/>
      <c r="R47" s="48"/>
      <c r="S47" s="48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  <c r="EC47" s="49"/>
      <c r="ED47" s="49"/>
      <c r="EE47" s="49"/>
      <c r="EF47" s="49"/>
      <c r="EG47" s="49"/>
      <c r="EH47" s="49"/>
      <c r="EI47" s="49"/>
      <c r="EJ47" s="49"/>
      <c r="EK47" s="49"/>
      <c r="EL47" s="49"/>
      <c r="EM47" s="49"/>
      <c r="EN47" s="49"/>
      <c r="EO47" s="49"/>
      <c r="EP47" s="49"/>
      <c r="EQ47" s="49"/>
      <c r="ER47" s="49"/>
      <c r="ES47" s="49"/>
      <c r="ET47" s="49"/>
      <c r="EU47" s="49"/>
      <c r="EV47" s="49"/>
      <c r="EW47" s="49"/>
      <c r="EX47" s="49"/>
      <c r="EY47" s="49"/>
      <c r="EZ47" s="49"/>
      <c r="FA47" s="49"/>
      <c r="FB47" s="49"/>
      <c r="FC47" s="49"/>
      <c r="FD47" s="49"/>
      <c r="FE47" s="49"/>
      <c r="FF47" s="49"/>
      <c r="FG47" s="49"/>
      <c r="FH47" s="49"/>
      <c r="FI47" s="49"/>
      <c r="FJ47" s="49"/>
      <c r="FK47" s="49"/>
      <c r="FL47" s="49"/>
      <c r="FM47" s="49"/>
      <c r="FN47" s="49"/>
      <c r="FO47" s="49"/>
      <c r="FP47" s="49"/>
      <c r="FQ47" s="49"/>
      <c r="FR47" s="49"/>
      <c r="FS47" s="49"/>
      <c r="FT47" s="49"/>
      <c r="FU47" s="49"/>
      <c r="FV47" s="49"/>
      <c r="FW47" s="49"/>
      <c r="FX47" s="49"/>
      <c r="FY47" s="49"/>
      <c r="FZ47" s="49"/>
      <c r="GA47" s="49"/>
      <c r="GB47" s="49"/>
      <c r="GC47" s="49"/>
      <c r="GD47" s="49"/>
      <c r="GE47" s="49"/>
      <c r="GF47" s="49"/>
      <c r="GG47" s="49"/>
      <c r="GH47" s="49"/>
      <c r="GI47" s="49"/>
      <c r="GJ47" s="49"/>
      <c r="GK47" s="49"/>
      <c r="GL47" s="49"/>
      <c r="GM47" s="49"/>
      <c r="GN47" s="49"/>
      <c r="GO47" s="49"/>
      <c r="GP47" s="49"/>
      <c r="GQ47" s="49"/>
      <c r="GR47" s="49"/>
      <c r="GS47" s="49"/>
      <c r="GT47" s="49"/>
      <c r="GU47" s="49"/>
      <c r="GV47" s="49"/>
      <c r="GW47" s="49"/>
      <c r="GX47" s="49"/>
      <c r="GY47" s="49"/>
      <c r="GZ47" s="49"/>
      <c r="HA47" s="49"/>
      <c r="HB47" s="49"/>
      <c r="HC47" s="49"/>
      <c r="HD47" s="49"/>
      <c r="HE47" s="49"/>
      <c r="HF47" s="49"/>
      <c r="HG47" s="49"/>
      <c r="HH47" s="49"/>
      <c r="HI47" s="49"/>
      <c r="HJ47" s="49"/>
      <c r="HK47" s="49"/>
      <c r="HL47" s="49"/>
      <c r="HM47" s="49"/>
      <c r="HN47" s="49"/>
      <c r="HO47" s="49"/>
      <c r="HP47" s="49"/>
      <c r="HQ47" s="49"/>
      <c r="HR47" s="49"/>
      <c r="HS47" s="49"/>
      <c r="HT47" s="49"/>
      <c r="HU47" s="49"/>
      <c r="HV47" s="49"/>
      <c r="HW47" s="49"/>
      <c r="HX47" s="49"/>
      <c r="HY47" s="49"/>
      <c r="HZ47" s="49"/>
    </row>
    <row r="48" spans="1:234" ht="17.5" x14ac:dyDescent="0.45">
      <c r="A48" s="269" t="s">
        <v>82</v>
      </c>
      <c r="B48" s="281">
        <f t="shared" ref="B48:D56" si="7">B$58</f>
        <v>1560.2857142857142</v>
      </c>
      <c r="C48" s="281">
        <f t="shared" si="7"/>
        <v>778.85714285714289</v>
      </c>
      <c r="D48" s="281">
        <f t="shared" si="7"/>
        <v>645.71428571428567</v>
      </c>
      <c r="E48" s="281">
        <f t="shared" ref="E48:E55" si="8">$E$58</f>
        <v>4089</v>
      </c>
      <c r="F48" s="281">
        <f t="shared" ref="F48:F55" si="9">$F$58</f>
        <v>155</v>
      </c>
      <c r="G48" s="281">
        <f t="shared" si="4"/>
        <v>4244</v>
      </c>
      <c r="H48" s="281">
        <f t="shared" ref="H48:H55" si="10">$H$58</f>
        <v>622.28571428571433</v>
      </c>
      <c r="I48" s="281">
        <f t="shared" ref="I48:I56" si="11">$I$58</f>
        <v>2289.5714285714284</v>
      </c>
      <c r="J48" s="281">
        <f>Table26[[#This Row],[
FRIANT-KERN CANAL -KAWEAH DELTA WCD   1/
CLASS 1]]+Table26[[#This Row],[
FRIANT-KERN CANAL -KAWEAH DELTA WCD   1/
CLASS 2]]</f>
        <v>2911.8571428571427</v>
      </c>
      <c r="K48" s="63">
        <f t="shared" si="5"/>
        <v>7696.1428571428578</v>
      </c>
      <c r="L48" s="57"/>
      <c r="M48" s="63">
        <f t="shared" si="6"/>
        <v>3066.8571428571427</v>
      </c>
      <c r="N48" s="48"/>
      <c r="O48" s="48"/>
      <c r="P48" s="48"/>
      <c r="Q48" s="48"/>
      <c r="R48" s="48"/>
      <c r="S48" s="48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  <c r="DQ48" s="49"/>
      <c r="DR48" s="49"/>
      <c r="DS48" s="49"/>
      <c r="DT48" s="49"/>
      <c r="DU48" s="49"/>
      <c r="DV48" s="49"/>
      <c r="DW48" s="49"/>
      <c r="DX48" s="49"/>
      <c r="DY48" s="49"/>
      <c r="DZ48" s="49"/>
      <c r="EA48" s="49"/>
      <c r="EB48" s="49"/>
      <c r="EC48" s="49"/>
      <c r="ED48" s="49"/>
      <c r="EE48" s="49"/>
      <c r="EF48" s="49"/>
      <c r="EG48" s="49"/>
      <c r="EH48" s="49"/>
      <c r="EI48" s="49"/>
      <c r="EJ48" s="49"/>
      <c r="EK48" s="49"/>
      <c r="EL48" s="49"/>
      <c r="EM48" s="49"/>
      <c r="EN48" s="49"/>
      <c r="EO48" s="49"/>
      <c r="EP48" s="49"/>
      <c r="EQ48" s="49"/>
      <c r="ER48" s="49"/>
      <c r="ES48" s="49"/>
      <c r="ET48" s="49"/>
      <c r="EU48" s="49"/>
      <c r="EV48" s="49"/>
      <c r="EW48" s="49"/>
      <c r="EX48" s="49"/>
      <c r="EY48" s="49"/>
      <c r="EZ48" s="49"/>
      <c r="FA48" s="49"/>
      <c r="FB48" s="49"/>
      <c r="FC48" s="49"/>
      <c r="FD48" s="49"/>
      <c r="FE48" s="49"/>
      <c r="FF48" s="49"/>
      <c r="FG48" s="49"/>
      <c r="FH48" s="49"/>
      <c r="FI48" s="49"/>
      <c r="FJ48" s="49"/>
      <c r="FK48" s="49"/>
      <c r="FL48" s="49"/>
      <c r="FM48" s="49"/>
      <c r="FN48" s="49"/>
      <c r="FO48" s="49"/>
      <c r="FP48" s="49"/>
      <c r="FQ48" s="49"/>
      <c r="FR48" s="49"/>
      <c r="FS48" s="49"/>
      <c r="FT48" s="49"/>
      <c r="FU48" s="49"/>
      <c r="FV48" s="49"/>
      <c r="FW48" s="49"/>
      <c r="FX48" s="49"/>
      <c r="FY48" s="49"/>
      <c r="FZ48" s="49"/>
      <c r="GA48" s="49"/>
      <c r="GB48" s="49"/>
      <c r="GC48" s="49"/>
      <c r="GD48" s="49"/>
      <c r="GE48" s="49"/>
      <c r="GF48" s="49"/>
      <c r="GG48" s="49"/>
      <c r="GH48" s="49"/>
      <c r="GI48" s="49"/>
      <c r="GJ48" s="49"/>
      <c r="GK48" s="49"/>
      <c r="GL48" s="49"/>
      <c r="GM48" s="49"/>
      <c r="GN48" s="49"/>
      <c r="GO48" s="49"/>
      <c r="GP48" s="49"/>
      <c r="GQ48" s="49"/>
      <c r="GR48" s="49"/>
      <c r="GS48" s="49"/>
      <c r="GT48" s="49"/>
      <c r="GU48" s="49"/>
      <c r="GV48" s="49"/>
      <c r="GW48" s="49"/>
      <c r="GX48" s="49"/>
      <c r="GY48" s="49"/>
      <c r="GZ48" s="49"/>
      <c r="HA48" s="49"/>
      <c r="HB48" s="49"/>
      <c r="HC48" s="49"/>
      <c r="HD48" s="49"/>
      <c r="HE48" s="49"/>
      <c r="HF48" s="49"/>
      <c r="HG48" s="49"/>
      <c r="HH48" s="49"/>
      <c r="HI48" s="49"/>
      <c r="HJ48" s="49"/>
      <c r="HK48" s="49"/>
      <c r="HL48" s="49"/>
      <c r="HM48" s="49"/>
      <c r="HN48" s="49"/>
      <c r="HO48" s="49"/>
      <c r="HP48" s="49"/>
      <c r="HQ48" s="49"/>
      <c r="HR48" s="49"/>
      <c r="HS48" s="49"/>
      <c r="HT48" s="49"/>
      <c r="HU48" s="49"/>
      <c r="HV48" s="49"/>
      <c r="HW48" s="49"/>
      <c r="HX48" s="49"/>
      <c r="HY48" s="49"/>
      <c r="HZ48" s="49"/>
    </row>
    <row r="49" spans="1:234" ht="17.5" x14ac:dyDescent="0.45">
      <c r="A49" s="269" t="s">
        <v>83</v>
      </c>
      <c r="B49" s="281">
        <f t="shared" si="7"/>
        <v>1560.2857142857142</v>
      </c>
      <c r="C49" s="281">
        <f t="shared" si="7"/>
        <v>778.85714285714289</v>
      </c>
      <c r="D49" s="281">
        <f t="shared" si="7"/>
        <v>645.71428571428567</v>
      </c>
      <c r="E49" s="281">
        <f t="shared" si="8"/>
        <v>4089</v>
      </c>
      <c r="F49" s="281">
        <f t="shared" si="9"/>
        <v>155</v>
      </c>
      <c r="G49" s="281">
        <f t="shared" si="4"/>
        <v>4244</v>
      </c>
      <c r="H49" s="281">
        <f t="shared" si="10"/>
        <v>622.28571428571433</v>
      </c>
      <c r="I49" s="281">
        <f t="shared" si="11"/>
        <v>2289.5714285714284</v>
      </c>
      <c r="J49" s="281">
        <f>Table26[[#This Row],[
FRIANT-KERN CANAL -KAWEAH DELTA WCD   1/
CLASS 1]]+Table26[[#This Row],[
FRIANT-KERN CANAL -KAWEAH DELTA WCD   1/
CLASS 2]]</f>
        <v>2911.8571428571427</v>
      </c>
      <c r="K49" s="63">
        <f t="shared" si="5"/>
        <v>7696.1428571428578</v>
      </c>
      <c r="L49" s="57"/>
      <c r="M49" s="63">
        <f t="shared" si="6"/>
        <v>3066.8571428571427</v>
      </c>
      <c r="N49" s="48"/>
      <c r="O49" s="48"/>
      <c r="P49" s="48"/>
      <c r="Q49" s="48"/>
      <c r="R49" s="48"/>
      <c r="S49" s="48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/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/>
      <c r="BH49" s="49"/>
      <c r="BI49" s="49"/>
      <c r="BJ49" s="49"/>
      <c r="BK49" s="49"/>
      <c r="BL49" s="49"/>
      <c r="BM49" s="49"/>
      <c r="BN49" s="49"/>
      <c r="BO49" s="49"/>
      <c r="BP49" s="49"/>
      <c r="BQ49" s="49"/>
      <c r="BR49" s="49"/>
      <c r="BS49" s="49"/>
      <c r="BT49" s="49"/>
      <c r="BU49" s="49"/>
      <c r="BV49" s="49"/>
      <c r="BW49" s="49"/>
      <c r="BX49" s="49"/>
      <c r="BY49" s="49"/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49"/>
      <c r="CK49" s="49"/>
      <c r="CL49" s="49"/>
      <c r="CM49" s="49"/>
      <c r="CN49" s="49"/>
      <c r="CO49" s="49"/>
      <c r="CP49" s="49"/>
      <c r="CQ49" s="49"/>
      <c r="CR49" s="49"/>
      <c r="CS49" s="49"/>
      <c r="CT49" s="49"/>
      <c r="CU49" s="49"/>
      <c r="CV49" s="49"/>
      <c r="CW49" s="49"/>
      <c r="CX49" s="49"/>
      <c r="CY49" s="49"/>
      <c r="CZ49" s="49"/>
      <c r="DA49" s="49"/>
      <c r="DB49" s="49"/>
      <c r="DC49" s="49"/>
      <c r="DD49" s="49"/>
      <c r="DE49" s="49"/>
      <c r="DF49" s="49"/>
      <c r="DG49" s="49"/>
      <c r="DH49" s="49"/>
      <c r="DI49" s="49"/>
      <c r="DJ49" s="49"/>
      <c r="DK49" s="49"/>
      <c r="DL49" s="49"/>
      <c r="DM49" s="49"/>
      <c r="DN49" s="49"/>
      <c r="DO49" s="49"/>
      <c r="DP49" s="49"/>
      <c r="DQ49" s="49"/>
      <c r="DR49" s="49"/>
      <c r="DS49" s="49"/>
      <c r="DT49" s="49"/>
      <c r="DU49" s="49"/>
      <c r="DV49" s="49"/>
      <c r="DW49" s="49"/>
      <c r="DX49" s="49"/>
      <c r="DY49" s="49"/>
      <c r="DZ49" s="49"/>
      <c r="EA49" s="49"/>
      <c r="EB49" s="49"/>
      <c r="EC49" s="49"/>
      <c r="ED49" s="49"/>
      <c r="EE49" s="49"/>
      <c r="EF49" s="49"/>
      <c r="EG49" s="49"/>
      <c r="EH49" s="49"/>
      <c r="EI49" s="49"/>
      <c r="EJ49" s="49"/>
      <c r="EK49" s="49"/>
      <c r="EL49" s="49"/>
      <c r="EM49" s="49"/>
      <c r="EN49" s="49"/>
      <c r="EO49" s="49"/>
      <c r="EP49" s="49"/>
      <c r="EQ49" s="49"/>
      <c r="ER49" s="49"/>
      <c r="ES49" s="49"/>
      <c r="ET49" s="49"/>
      <c r="EU49" s="49"/>
      <c r="EV49" s="49"/>
      <c r="EW49" s="49"/>
      <c r="EX49" s="49"/>
      <c r="EY49" s="49"/>
      <c r="EZ49" s="49"/>
      <c r="FA49" s="49"/>
      <c r="FB49" s="49"/>
      <c r="FC49" s="49"/>
      <c r="FD49" s="49"/>
      <c r="FE49" s="49"/>
      <c r="FF49" s="49"/>
      <c r="FG49" s="49"/>
      <c r="FH49" s="49"/>
      <c r="FI49" s="49"/>
      <c r="FJ49" s="49"/>
      <c r="FK49" s="49"/>
      <c r="FL49" s="49"/>
      <c r="FM49" s="49"/>
      <c r="FN49" s="49"/>
      <c r="FO49" s="49"/>
      <c r="FP49" s="49"/>
      <c r="FQ49" s="49"/>
      <c r="FR49" s="49"/>
      <c r="FS49" s="49"/>
      <c r="FT49" s="49"/>
      <c r="FU49" s="49"/>
      <c r="FV49" s="49"/>
      <c r="FW49" s="49"/>
      <c r="FX49" s="49"/>
      <c r="FY49" s="49"/>
      <c r="FZ49" s="49"/>
      <c r="GA49" s="49"/>
      <c r="GB49" s="49"/>
      <c r="GC49" s="49"/>
      <c r="GD49" s="49"/>
      <c r="GE49" s="49"/>
      <c r="GF49" s="49"/>
      <c r="GG49" s="49"/>
      <c r="GH49" s="49"/>
      <c r="GI49" s="49"/>
      <c r="GJ49" s="49"/>
      <c r="GK49" s="49"/>
      <c r="GL49" s="49"/>
      <c r="GM49" s="49"/>
      <c r="GN49" s="49"/>
      <c r="GO49" s="49"/>
      <c r="GP49" s="49"/>
      <c r="GQ49" s="49"/>
      <c r="GR49" s="49"/>
      <c r="GS49" s="49"/>
      <c r="GT49" s="49"/>
      <c r="GU49" s="49"/>
      <c r="GV49" s="49"/>
      <c r="GW49" s="49"/>
      <c r="GX49" s="49"/>
      <c r="GY49" s="49"/>
      <c r="GZ49" s="49"/>
      <c r="HA49" s="49"/>
      <c r="HB49" s="49"/>
      <c r="HC49" s="49"/>
      <c r="HD49" s="49"/>
      <c r="HE49" s="49"/>
      <c r="HF49" s="49"/>
      <c r="HG49" s="49"/>
      <c r="HH49" s="49"/>
      <c r="HI49" s="49"/>
      <c r="HJ49" s="49"/>
      <c r="HK49" s="49"/>
      <c r="HL49" s="49"/>
      <c r="HM49" s="49"/>
      <c r="HN49" s="49"/>
      <c r="HO49" s="49"/>
      <c r="HP49" s="49"/>
      <c r="HQ49" s="49"/>
      <c r="HR49" s="49"/>
      <c r="HS49" s="49"/>
      <c r="HT49" s="49"/>
      <c r="HU49" s="49"/>
      <c r="HV49" s="49"/>
      <c r="HW49" s="49"/>
      <c r="HX49" s="49"/>
      <c r="HY49" s="49"/>
      <c r="HZ49" s="49"/>
    </row>
    <row r="50" spans="1:234" ht="17.5" x14ac:dyDescent="0.45">
      <c r="A50" s="269" t="s">
        <v>84</v>
      </c>
      <c r="B50" s="281">
        <f t="shared" si="7"/>
        <v>1560.2857142857142</v>
      </c>
      <c r="C50" s="281">
        <f t="shared" si="7"/>
        <v>778.85714285714289</v>
      </c>
      <c r="D50" s="281">
        <f t="shared" si="7"/>
        <v>645.71428571428567</v>
      </c>
      <c r="E50" s="281">
        <f t="shared" si="8"/>
        <v>4089</v>
      </c>
      <c r="F50" s="281">
        <f t="shared" si="9"/>
        <v>155</v>
      </c>
      <c r="G50" s="281">
        <f t="shared" si="4"/>
        <v>4244</v>
      </c>
      <c r="H50" s="281">
        <f t="shared" si="10"/>
        <v>622.28571428571433</v>
      </c>
      <c r="I50" s="281">
        <f t="shared" si="11"/>
        <v>2289.5714285714284</v>
      </c>
      <c r="J50" s="281">
        <f>Table26[[#This Row],[
FRIANT-KERN CANAL -KAWEAH DELTA WCD   1/
CLASS 1]]+Table26[[#This Row],[
FRIANT-KERN CANAL -KAWEAH DELTA WCD   1/
CLASS 2]]</f>
        <v>2911.8571428571427</v>
      </c>
      <c r="K50" s="63">
        <f t="shared" si="5"/>
        <v>7696.1428571428578</v>
      </c>
      <c r="L50" s="57"/>
      <c r="M50" s="63">
        <f t="shared" si="6"/>
        <v>3066.8571428571427</v>
      </c>
      <c r="N50" s="48"/>
      <c r="O50" s="48"/>
      <c r="P50" s="48"/>
      <c r="Q50" s="48"/>
      <c r="R50" s="48"/>
      <c r="S50" s="48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/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/>
      <c r="BH50" s="49"/>
      <c r="BI50" s="49"/>
      <c r="BJ50" s="49"/>
      <c r="BK50" s="49"/>
      <c r="BL50" s="49"/>
      <c r="BM50" s="49"/>
      <c r="BN50" s="49"/>
      <c r="BO50" s="49"/>
      <c r="BP50" s="49"/>
      <c r="BQ50" s="49"/>
      <c r="BR50" s="49"/>
      <c r="BS50" s="49"/>
      <c r="BT50" s="49"/>
      <c r="BU50" s="49"/>
      <c r="BV50" s="49"/>
      <c r="BW50" s="49"/>
      <c r="BX50" s="49"/>
      <c r="BY50" s="49"/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49"/>
      <c r="CK50" s="49"/>
      <c r="CL50" s="49"/>
      <c r="CM50" s="49"/>
      <c r="CN50" s="49"/>
      <c r="CO50" s="49"/>
      <c r="CP50" s="49"/>
      <c r="CQ50" s="49"/>
      <c r="CR50" s="49"/>
      <c r="CS50" s="49"/>
      <c r="CT50" s="49"/>
      <c r="CU50" s="49"/>
      <c r="CV50" s="49"/>
      <c r="CW50" s="49"/>
      <c r="CX50" s="49"/>
      <c r="CY50" s="49"/>
      <c r="CZ50" s="49"/>
      <c r="DA50" s="49"/>
      <c r="DB50" s="49"/>
      <c r="DC50" s="49"/>
      <c r="DD50" s="49"/>
      <c r="DE50" s="49"/>
      <c r="DF50" s="49"/>
      <c r="DG50" s="49"/>
      <c r="DH50" s="49"/>
      <c r="DI50" s="49"/>
      <c r="DJ50" s="49"/>
      <c r="DK50" s="49"/>
      <c r="DL50" s="49"/>
      <c r="DM50" s="49"/>
      <c r="DN50" s="49"/>
      <c r="DO50" s="49"/>
      <c r="DP50" s="49"/>
      <c r="DQ50" s="49"/>
      <c r="DR50" s="49"/>
      <c r="DS50" s="49"/>
      <c r="DT50" s="49"/>
      <c r="DU50" s="49"/>
      <c r="DV50" s="49"/>
      <c r="DW50" s="49"/>
      <c r="DX50" s="49"/>
      <c r="DY50" s="49"/>
      <c r="DZ50" s="49"/>
      <c r="EA50" s="49"/>
      <c r="EB50" s="49"/>
      <c r="EC50" s="49"/>
      <c r="ED50" s="49"/>
      <c r="EE50" s="49"/>
      <c r="EF50" s="49"/>
      <c r="EG50" s="49"/>
      <c r="EH50" s="49"/>
      <c r="EI50" s="49"/>
      <c r="EJ50" s="49"/>
      <c r="EK50" s="49"/>
      <c r="EL50" s="49"/>
      <c r="EM50" s="49"/>
      <c r="EN50" s="49"/>
      <c r="EO50" s="49"/>
      <c r="EP50" s="49"/>
      <c r="EQ50" s="49"/>
      <c r="ER50" s="49"/>
      <c r="ES50" s="49"/>
      <c r="ET50" s="49"/>
      <c r="EU50" s="49"/>
      <c r="EV50" s="49"/>
      <c r="EW50" s="49"/>
      <c r="EX50" s="49"/>
      <c r="EY50" s="49"/>
      <c r="EZ50" s="49"/>
      <c r="FA50" s="49"/>
      <c r="FB50" s="49"/>
      <c r="FC50" s="49"/>
      <c r="FD50" s="49"/>
      <c r="FE50" s="49"/>
      <c r="FF50" s="49"/>
      <c r="FG50" s="49"/>
      <c r="FH50" s="49"/>
      <c r="FI50" s="49"/>
      <c r="FJ50" s="49"/>
      <c r="FK50" s="49"/>
      <c r="FL50" s="49"/>
      <c r="FM50" s="49"/>
      <c r="FN50" s="49"/>
      <c r="FO50" s="49"/>
      <c r="FP50" s="49"/>
      <c r="FQ50" s="49"/>
      <c r="FR50" s="49"/>
      <c r="FS50" s="49"/>
      <c r="FT50" s="49"/>
      <c r="FU50" s="49"/>
      <c r="FV50" s="49"/>
      <c r="FW50" s="49"/>
      <c r="FX50" s="49"/>
      <c r="FY50" s="49"/>
      <c r="FZ50" s="49"/>
      <c r="GA50" s="49"/>
      <c r="GB50" s="49"/>
      <c r="GC50" s="49"/>
      <c r="GD50" s="49"/>
      <c r="GE50" s="49"/>
      <c r="GF50" s="49"/>
      <c r="GG50" s="49"/>
      <c r="GH50" s="49"/>
      <c r="GI50" s="49"/>
      <c r="GJ50" s="49"/>
      <c r="GK50" s="49"/>
      <c r="GL50" s="49"/>
      <c r="GM50" s="49"/>
      <c r="GN50" s="49"/>
      <c r="GO50" s="49"/>
      <c r="GP50" s="49"/>
      <c r="GQ50" s="49"/>
      <c r="GR50" s="49"/>
      <c r="GS50" s="49"/>
      <c r="GT50" s="49"/>
      <c r="GU50" s="49"/>
      <c r="GV50" s="49"/>
      <c r="GW50" s="49"/>
      <c r="GX50" s="49"/>
      <c r="GY50" s="49"/>
      <c r="GZ50" s="49"/>
      <c r="HA50" s="49"/>
      <c r="HB50" s="49"/>
      <c r="HC50" s="49"/>
      <c r="HD50" s="49"/>
      <c r="HE50" s="49"/>
      <c r="HF50" s="49"/>
      <c r="HG50" s="49"/>
      <c r="HH50" s="49"/>
      <c r="HI50" s="49"/>
      <c r="HJ50" s="49"/>
      <c r="HK50" s="49"/>
      <c r="HL50" s="49"/>
      <c r="HM50" s="49"/>
      <c r="HN50" s="49"/>
      <c r="HO50" s="49"/>
      <c r="HP50" s="49"/>
      <c r="HQ50" s="49"/>
      <c r="HR50" s="49"/>
      <c r="HS50" s="49"/>
      <c r="HT50" s="49"/>
      <c r="HU50" s="49"/>
      <c r="HV50" s="49"/>
      <c r="HW50" s="49"/>
      <c r="HX50" s="49"/>
      <c r="HY50" s="49"/>
      <c r="HZ50" s="49"/>
    </row>
    <row r="51" spans="1:234" ht="17.5" x14ac:dyDescent="0.45">
      <c r="A51" s="269" t="s">
        <v>85</v>
      </c>
      <c r="B51" s="281">
        <f t="shared" si="7"/>
        <v>1560.2857142857142</v>
      </c>
      <c r="C51" s="281">
        <f t="shared" si="7"/>
        <v>778.85714285714289</v>
      </c>
      <c r="D51" s="281">
        <f t="shared" si="7"/>
        <v>645.71428571428567</v>
      </c>
      <c r="E51" s="281">
        <f t="shared" si="8"/>
        <v>4089</v>
      </c>
      <c r="F51" s="281">
        <f t="shared" si="9"/>
        <v>155</v>
      </c>
      <c r="G51" s="281">
        <f t="shared" si="4"/>
        <v>4244</v>
      </c>
      <c r="H51" s="281">
        <f t="shared" si="10"/>
        <v>622.28571428571433</v>
      </c>
      <c r="I51" s="281">
        <f t="shared" si="11"/>
        <v>2289.5714285714284</v>
      </c>
      <c r="J51" s="281">
        <f>Table26[[#This Row],[
FRIANT-KERN CANAL -KAWEAH DELTA WCD   1/
CLASS 1]]+Table26[[#This Row],[
FRIANT-KERN CANAL -KAWEAH DELTA WCD   1/
CLASS 2]]</f>
        <v>2911.8571428571427</v>
      </c>
      <c r="K51" s="63">
        <f t="shared" si="5"/>
        <v>7696.1428571428578</v>
      </c>
      <c r="L51" s="57"/>
      <c r="M51" s="63">
        <f t="shared" si="6"/>
        <v>3066.8571428571427</v>
      </c>
      <c r="N51" s="48"/>
      <c r="O51" s="48"/>
      <c r="P51" s="48"/>
      <c r="Q51" s="48"/>
      <c r="R51" s="48"/>
      <c r="S51" s="48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/>
      <c r="BH51" s="49"/>
      <c r="BI51" s="49"/>
      <c r="BJ51" s="49"/>
      <c r="BK51" s="49"/>
      <c r="BL51" s="49"/>
      <c r="BM51" s="49"/>
      <c r="BN51" s="49"/>
      <c r="BO51" s="49"/>
      <c r="BP51" s="49"/>
      <c r="BQ51" s="49"/>
      <c r="BR51" s="49"/>
      <c r="BS51" s="49"/>
      <c r="BT51" s="49"/>
      <c r="BU51" s="49"/>
      <c r="BV51" s="49"/>
      <c r="BW51" s="49"/>
      <c r="BX51" s="49"/>
      <c r="BY51" s="49"/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49"/>
      <c r="CK51" s="49"/>
      <c r="CL51" s="49"/>
      <c r="CM51" s="49"/>
      <c r="CN51" s="49"/>
      <c r="CO51" s="49"/>
      <c r="CP51" s="49"/>
      <c r="CQ51" s="49"/>
      <c r="CR51" s="49"/>
      <c r="CS51" s="49"/>
      <c r="CT51" s="49"/>
      <c r="CU51" s="49"/>
      <c r="CV51" s="49"/>
      <c r="CW51" s="49"/>
      <c r="CX51" s="49"/>
      <c r="CY51" s="49"/>
      <c r="CZ51" s="49"/>
      <c r="DA51" s="49"/>
      <c r="DB51" s="49"/>
      <c r="DC51" s="49"/>
      <c r="DD51" s="49"/>
      <c r="DE51" s="49"/>
      <c r="DF51" s="49"/>
      <c r="DG51" s="49"/>
      <c r="DH51" s="49"/>
      <c r="DI51" s="49"/>
      <c r="DJ51" s="49"/>
      <c r="DK51" s="49"/>
      <c r="DL51" s="49"/>
      <c r="DM51" s="49"/>
      <c r="DN51" s="49"/>
      <c r="DO51" s="49"/>
      <c r="DP51" s="49"/>
      <c r="DQ51" s="49"/>
      <c r="DR51" s="49"/>
      <c r="DS51" s="49"/>
      <c r="DT51" s="49"/>
      <c r="DU51" s="49"/>
      <c r="DV51" s="49"/>
      <c r="DW51" s="49"/>
      <c r="DX51" s="49"/>
      <c r="DY51" s="49"/>
      <c r="DZ51" s="49"/>
      <c r="EA51" s="49"/>
      <c r="EB51" s="49"/>
      <c r="EC51" s="49"/>
      <c r="ED51" s="49"/>
      <c r="EE51" s="49"/>
      <c r="EF51" s="49"/>
      <c r="EG51" s="49"/>
      <c r="EH51" s="49"/>
      <c r="EI51" s="49"/>
      <c r="EJ51" s="49"/>
      <c r="EK51" s="49"/>
      <c r="EL51" s="49"/>
      <c r="EM51" s="49"/>
      <c r="EN51" s="49"/>
      <c r="EO51" s="49"/>
      <c r="EP51" s="49"/>
      <c r="EQ51" s="49"/>
      <c r="ER51" s="49"/>
      <c r="ES51" s="49"/>
      <c r="ET51" s="49"/>
      <c r="EU51" s="49"/>
      <c r="EV51" s="49"/>
      <c r="EW51" s="49"/>
      <c r="EX51" s="49"/>
      <c r="EY51" s="49"/>
      <c r="EZ51" s="49"/>
      <c r="FA51" s="49"/>
      <c r="FB51" s="49"/>
      <c r="FC51" s="49"/>
      <c r="FD51" s="49"/>
      <c r="FE51" s="49"/>
      <c r="FF51" s="49"/>
      <c r="FG51" s="49"/>
      <c r="FH51" s="49"/>
      <c r="FI51" s="49"/>
      <c r="FJ51" s="49"/>
      <c r="FK51" s="49"/>
      <c r="FL51" s="49"/>
      <c r="FM51" s="49"/>
      <c r="FN51" s="49"/>
      <c r="FO51" s="49"/>
      <c r="FP51" s="49"/>
      <c r="FQ51" s="49"/>
      <c r="FR51" s="49"/>
      <c r="FS51" s="49"/>
      <c r="FT51" s="49"/>
      <c r="FU51" s="49"/>
      <c r="FV51" s="49"/>
      <c r="FW51" s="49"/>
      <c r="FX51" s="49"/>
      <c r="FY51" s="49"/>
      <c r="FZ51" s="49"/>
      <c r="GA51" s="49"/>
      <c r="GB51" s="49"/>
      <c r="GC51" s="49"/>
      <c r="GD51" s="49"/>
      <c r="GE51" s="49"/>
      <c r="GF51" s="49"/>
      <c r="GG51" s="49"/>
      <c r="GH51" s="49"/>
      <c r="GI51" s="49"/>
      <c r="GJ51" s="49"/>
      <c r="GK51" s="49"/>
      <c r="GL51" s="49"/>
      <c r="GM51" s="49"/>
      <c r="GN51" s="49"/>
      <c r="GO51" s="49"/>
      <c r="GP51" s="49"/>
      <c r="GQ51" s="49"/>
      <c r="GR51" s="49"/>
      <c r="GS51" s="49"/>
      <c r="GT51" s="49"/>
      <c r="GU51" s="49"/>
      <c r="GV51" s="49"/>
      <c r="GW51" s="49"/>
      <c r="GX51" s="49"/>
      <c r="GY51" s="49"/>
      <c r="GZ51" s="49"/>
      <c r="HA51" s="49"/>
      <c r="HB51" s="49"/>
      <c r="HC51" s="49"/>
      <c r="HD51" s="49"/>
      <c r="HE51" s="49"/>
      <c r="HF51" s="49"/>
      <c r="HG51" s="49"/>
      <c r="HH51" s="49"/>
      <c r="HI51" s="49"/>
      <c r="HJ51" s="49"/>
      <c r="HK51" s="49"/>
      <c r="HL51" s="49"/>
      <c r="HM51" s="49"/>
      <c r="HN51" s="49"/>
      <c r="HO51" s="49"/>
      <c r="HP51" s="49"/>
      <c r="HQ51" s="49"/>
      <c r="HR51" s="49"/>
      <c r="HS51" s="49"/>
      <c r="HT51" s="49"/>
      <c r="HU51" s="49"/>
      <c r="HV51" s="49"/>
      <c r="HW51" s="49"/>
      <c r="HX51" s="49"/>
      <c r="HY51" s="49"/>
      <c r="HZ51" s="49"/>
    </row>
    <row r="52" spans="1:234" ht="17.5" x14ac:dyDescent="0.45">
      <c r="A52" s="269" t="s">
        <v>86</v>
      </c>
      <c r="B52" s="281">
        <f t="shared" si="7"/>
        <v>1560.2857142857142</v>
      </c>
      <c r="C52" s="281">
        <f t="shared" si="7"/>
        <v>778.85714285714289</v>
      </c>
      <c r="D52" s="281">
        <f t="shared" si="7"/>
        <v>645.71428571428567</v>
      </c>
      <c r="E52" s="281">
        <f t="shared" si="8"/>
        <v>4089</v>
      </c>
      <c r="F52" s="281">
        <f t="shared" si="9"/>
        <v>155</v>
      </c>
      <c r="G52" s="281">
        <f t="shared" si="4"/>
        <v>4244</v>
      </c>
      <c r="H52" s="281">
        <f t="shared" si="10"/>
        <v>622.28571428571433</v>
      </c>
      <c r="I52" s="281">
        <f t="shared" si="11"/>
        <v>2289.5714285714284</v>
      </c>
      <c r="J52" s="281">
        <f>Table26[[#This Row],[
FRIANT-KERN CANAL -KAWEAH DELTA WCD   1/
CLASS 1]]+Table26[[#This Row],[
FRIANT-KERN CANAL -KAWEAH DELTA WCD   1/
CLASS 2]]</f>
        <v>2911.8571428571427</v>
      </c>
      <c r="K52" s="63">
        <f t="shared" si="5"/>
        <v>7696.1428571428578</v>
      </c>
      <c r="L52" s="57"/>
      <c r="M52" s="63">
        <f t="shared" si="6"/>
        <v>3066.8571428571427</v>
      </c>
      <c r="N52" s="48"/>
      <c r="O52" s="48"/>
      <c r="P52" s="48"/>
      <c r="Q52" s="48"/>
      <c r="R52" s="48"/>
      <c r="S52" s="48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/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/>
      <c r="BH52" s="49"/>
      <c r="BI52" s="49"/>
      <c r="BJ52" s="49"/>
      <c r="BK52" s="49"/>
      <c r="BL52" s="49"/>
      <c r="BM52" s="49"/>
      <c r="BN52" s="49"/>
      <c r="BO52" s="49"/>
      <c r="BP52" s="49"/>
      <c r="BQ52" s="49"/>
      <c r="BR52" s="49"/>
      <c r="BS52" s="49"/>
      <c r="BT52" s="49"/>
      <c r="BU52" s="49"/>
      <c r="BV52" s="49"/>
      <c r="BW52" s="49"/>
      <c r="BX52" s="49"/>
      <c r="BY52" s="49"/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49"/>
      <c r="CK52" s="49"/>
      <c r="CL52" s="49"/>
      <c r="CM52" s="49"/>
      <c r="CN52" s="49"/>
      <c r="CO52" s="49"/>
      <c r="CP52" s="49"/>
      <c r="CQ52" s="49"/>
      <c r="CR52" s="49"/>
      <c r="CS52" s="49"/>
      <c r="CT52" s="49"/>
      <c r="CU52" s="49"/>
      <c r="CV52" s="49"/>
      <c r="CW52" s="49"/>
      <c r="CX52" s="49"/>
      <c r="CY52" s="49"/>
      <c r="CZ52" s="49"/>
      <c r="DA52" s="49"/>
      <c r="DB52" s="49"/>
      <c r="DC52" s="49"/>
      <c r="DD52" s="49"/>
      <c r="DE52" s="49"/>
      <c r="DF52" s="49"/>
      <c r="DG52" s="49"/>
      <c r="DH52" s="49"/>
      <c r="DI52" s="49"/>
      <c r="DJ52" s="49"/>
      <c r="DK52" s="49"/>
      <c r="DL52" s="49"/>
      <c r="DM52" s="49"/>
      <c r="DN52" s="49"/>
      <c r="DO52" s="49"/>
      <c r="DP52" s="49"/>
      <c r="DQ52" s="49"/>
      <c r="DR52" s="49"/>
      <c r="DS52" s="49"/>
      <c r="DT52" s="49"/>
      <c r="DU52" s="49"/>
      <c r="DV52" s="49"/>
      <c r="DW52" s="49"/>
      <c r="DX52" s="49"/>
      <c r="DY52" s="49"/>
      <c r="DZ52" s="49"/>
      <c r="EA52" s="49"/>
      <c r="EB52" s="49"/>
      <c r="EC52" s="49"/>
      <c r="ED52" s="49"/>
      <c r="EE52" s="49"/>
      <c r="EF52" s="49"/>
      <c r="EG52" s="49"/>
      <c r="EH52" s="49"/>
      <c r="EI52" s="49"/>
      <c r="EJ52" s="49"/>
      <c r="EK52" s="49"/>
      <c r="EL52" s="49"/>
      <c r="EM52" s="49"/>
      <c r="EN52" s="49"/>
      <c r="EO52" s="49"/>
      <c r="EP52" s="49"/>
      <c r="EQ52" s="49"/>
      <c r="ER52" s="49"/>
      <c r="ES52" s="49"/>
      <c r="ET52" s="49"/>
      <c r="EU52" s="49"/>
      <c r="EV52" s="49"/>
      <c r="EW52" s="49"/>
      <c r="EX52" s="49"/>
      <c r="EY52" s="49"/>
      <c r="EZ52" s="49"/>
      <c r="FA52" s="49"/>
      <c r="FB52" s="49"/>
      <c r="FC52" s="49"/>
      <c r="FD52" s="49"/>
      <c r="FE52" s="49"/>
      <c r="FF52" s="49"/>
      <c r="FG52" s="49"/>
      <c r="FH52" s="49"/>
      <c r="FI52" s="49"/>
      <c r="FJ52" s="49"/>
      <c r="FK52" s="49"/>
      <c r="FL52" s="49"/>
      <c r="FM52" s="49"/>
      <c r="FN52" s="49"/>
      <c r="FO52" s="49"/>
      <c r="FP52" s="49"/>
      <c r="FQ52" s="49"/>
      <c r="FR52" s="49"/>
      <c r="FS52" s="49"/>
      <c r="FT52" s="49"/>
      <c r="FU52" s="49"/>
      <c r="FV52" s="49"/>
      <c r="FW52" s="49"/>
      <c r="FX52" s="49"/>
      <c r="FY52" s="49"/>
      <c r="FZ52" s="49"/>
      <c r="GA52" s="49"/>
      <c r="GB52" s="49"/>
      <c r="GC52" s="49"/>
      <c r="GD52" s="49"/>
      <c r="GE52" s="49"/>
      <c r="GF52" s="49"/>
      <c r="GG52" s="49"/>
      <c r="GH52" s="49"/>
      <c r="GI52" s="49"/>
      <c r="GJ52" s="49"/>
      <c r="GK52" s="49"/>
      <c r="GL52" s="49"/>
      <c r="GM52" s="49"/>
      <c r="GN52" s="49"/>
      <c r="GO52" s="49"/>
      <c r="GP52" s="49"/>
      <c r="GQ52" s="49"/>
      <c r="GR52" s="49"/>
      <c r="GS52" s="49"/>
      <c r="GT52" s="49"/>
      <c r="GU52" s="49"/>
      <c r="GV52" s="49"/>
      <c r="GW52" s="49"/>
      <c r="GX52" s="49"/>
      <c r="GY52" s="49"/>
      <c r="GZ52" s="49"/>
      <c r="HA52" s="49"/>
      <c r="HB52" s="49"/>
      <c r="HC52" s="49"/>
      <c r="HD52" s="49"/>
      <c r="HE52" s="49"/>
      <c r="HF52" s="49"/>
      <c r="HG52" s="49"/>
      <c r="HH52" s="49"/>
      <c r="HI52" s="49"/>
      <c r="HJ52" s="49"/>
      <c r="HK52" s="49"/>
      <c r="HL52" s="49"/>
      <c r="HM52" s="49"/>
      <c r="HN52" s="49"/>
      <c r="HO52" s="49"/>
      <c r="HP52" s="49"/>
      <c r="HQ52" s="49"/>
      <c r="HR52" s="49"/>
      <c r="HS52" s="49"/>
      <c r="HT52" s="49"/>
      <c r="HU52" s="49"/>
      <c r="HV52" s="49"/>
      <c r="HW52" s="49"/>
      <c r="HX52" s="49"/>
      <c r="HY52" s="49"/>
      <c r="HZ52" s="49"/>
    </row>
    <row r="53" spans="1:234" ht="17.5" x14ac:dyDescent="0.45">
      <c r="A53" s="269" t="s">
        <v>87</v>
      </c>
      <c r="B53" s="281">
        <f t="shared" si="7"/>
        <v>1560.2857142857142</v>
      </c>
      <c r="C53" s="281">
        <f t="shared" si="7"/>
        <v>778.85714285714289</v>
      </c>
      <c r="D53" s="281">
        <f t="shared" si="7"/>
        <v>645.71428571428567</v>
      </c>
      <c r="E53" s="281">
        <f t="shared" si="8"/>
        <v>4089</v>
      </c>
      <c r="F53" s="281">
        <f t="shared" si="9"/>
        <v>155</v>
      </c>
      <c r="G53" s="281">
        <f t="shared" si="4"/>
        <v>4244</v>
      </c>
      <c r="H53" s="281">
        <f t="shared" si="10"/>
        <v>622.28571428571433</v>
      </c>
      <c r="I53" s="281">
        <f t="shared" si="11"/>
        <v>2289.5714285714284</v>
      </c>
      <c r="J53" s="281">
        <f>Table26[[#This Row],[
FRIANT-KERN CANAL -KAWEAH DELTA WCD   1/
CLASS 1]]+Table26[[#This Row],[
FRIANT-KERN CANAL -KAWEAH DELTA WCD   1/
CLASS 2]]</f>
        <v>2911.8571428571427</v>
      </c>
      <c r="K53" s="63">
        <f t="shared" si="5"/>
        <v>7696.1428571428578</v>
      </c>
      <c r="L53" s="57"/>
      <c r="M53" s="63">
        <f t="shared" si="6"/>
        <v>3066.8571428571427</v>
      </c>
      <c r="N53" s="48"/>
      <c r="O53" s="48"/>
      <c r="P53" s="48"/>
      <c r="Q53" s="48"/>
      <c r="R53" s="48"/>
      <c r="S53" s="48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49"/>
      <c r="AW53" s="49"/>
      <c r="AX53" s="49"/>
      <c r="AY53" s="49"/>
      <c r="AZ53" s="49"/>
      <c r="BA53" s="49"/>
      <c r="BB53" s="49"/>
      <c r="BC53" s="49"/>
      <c r="BD53" s="49"/>
      <c r="BE53" s="49"/>
      <c r="BF53" s="49"/>
      <c r="BG53" s="49"/>
      <c r="BH53" s="49"/>
      <c r="BI53" s="49"/>
      <c r="BJ53" s="49"/>
      <c r="BK53" s="49"/>
      <c r="BL53" s="49"/>
      <c r="BM53" s="49"/>
      <c r="BN53" s="49"/>
      <c r="BO53" s="49"/>
      <c r="BP53" s="49"/>
      <c r="BQ53" s="49"/>
      <c r="BR53" s="49"/>
      <c r="BS53" s="49"/>
      <c r="BT53" s="49"/>
      <c r="BU53" s="49"/>
      <c r="BV53" s="49"/>
      <c r="BW53" s="49"/>
      <c r="BX53" s="49"/>
      <c r="BY53" s="49"/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49"/>
      <c r="CK53" s="49"/>
      <c r="CL53" s="49"/>
      <c r="CM53" s="49"/>
      <c r="CN53" s="49"/>
      <c r="CO53" s="49"/>
      <c r="CP53" s="49"/>
      <c r="CQ53" s="49"/>
      <c r="CR53" s="49"/>
      <c r="CS53" s="49"/>
      <c r="CT53" s="49"/>
      <c r="CU53" s="49"/>
      <c r="CV53" s="49"/>
      <c r="CW53" s="49"/>
      <c r="CX53" s="49"/>
      <c r="CY53" s="49"/>
      <c r="CZ53" s="49"/>
      <c r="DA53" s="49"/>
      <c r="DB53" s="49"/>
      <c r="DC53" s="49"/>
      <c r="DD53" s="49"/>
      <c r="DE53" s="49"/>
      <c r="DF53" s="49"/>
      <c r="DG53" s="49"/>
      <c r="DH53" s="49"/>
      <c r="DI53" s="49"/>
      <c r="DJ53" s="49"/>
      <c r="DK53" s="49"/>
      <c r="DL53" s="49"/>
      <c r="DM53" s="49"/>
      <c r="DN53" s="49"/>
      <c r="DO53" s="49"/>
      <c r="DP53" s="49"/>
      <c r="DQ53" s="49"/>
      <c r="DR53" s="49"/>
      <c r="DS53" s="49"/>
      <c r="DT53" s="49"/>
      <c r="DU53" s="49"/>
      <c r="DV53" s="49"/>
      <c r="DW53" s="49"/>
      <c r="DX53" s="49"/>
      <c r="DY53" s="49"/>
      <c r="DZ53" s="49"/>
      <c r="EA53" s="49"/>
      <c r="EB53" s="49"/>
      <c r="EC53" s="49"/>
      <c r="ED53" s="49"/>
      <c r="EE53" s="49"/>
      <c r="EF53" s="49"/>
      <c r="EG53" s="49"/>
      <c r="EH53" s="49"/>
      <c r="EI53" s="49"/>
      <c r="EJ53" s="49"/>
      <c r="EK53" s="49"/>
      <c r="EL53" s="49"/>
      <c r="EM53" s="49"/>
      <c r="EN53" s="49"/>
      <c r="EO53" s="49"/>
      <c r="EP53" s="49"/>
      <c r="EQ53" s="49"/>
      <c r="ER53" s="49"/>
      <c r="ES53" s="49"/>
      <c r="ET53" s="49"/>
      <c r="EU53" s="49"/>
      <c r="EV53" s="49"/>
      <c r="EW53" s="49"/>
      <c r="EX53" s="49"/>
      <c r="EY53" s="49"/>
      <c r="EZ53" s="49"/>
      <c r="FA53" s="49"/>
      <c r="FB53" s="49"/>
      <c r="FC53" s="49"/>
      <c r="FD53" s="49"/>
      <c r="FE53" s="49"/>
      <c r="FF53" s="49"/>
      <c r="FG53" s="49"/>
      <c r="FH53" s="49"/>
      <c r="FI53" s="49"/>
      <c r="FJ53" s="49"/>
      <c r="FK53" s="49"/>
      <c r="FL53" s="49"/>
      <c r="FM53" s="49"/>
      <c r="FN53" s="49"/>
      <c r="FO53" s="49"/>
      <c r="FP53" s="49"/>
      <c r="FQ53" s="49"/>
      <c r="FR53" s="49"/>
      <c r="FS53" s="49"/>
      <c r="FT53" s="49"/>
      <c r="FU53" s="49"/>
      <c r="FV53" s="49"/>
      <c r="FW53" s="49"/>
      <c r="FX53" s="49"/>
      <c r="FY53" s="49"/>
      <c r="FZ53" s="49"/>
      <c r="GA53" s="49"/>
      <c r="GB53" s="49"/>
      <c r="GC53" s="49"/>
      <c r="GD53" s="49"/>
      <c r="GE53" s="49"/>
      <c r="GF53" s="49"/>
      <c r="GG53" s="49"/>
      <c r="GH53" s="49"/>
      <c r="GI53" s="49"/>
      <c r="GJ53" s="49"/>
      <c r="GK53" s="49"/>
      <c r="GL53" s="49"/>
      <c r="GM53" s="49"/>
      <c r="GN53" s="49"/>
      <c r="GO53" s="49"/>
      <c r="GP53" s="49"/>
      <c r="GQ53" s="49"/>
      <c r="GR53" s="49"/>
      <c r="GS53" s="49"/>
      <c r="GT53" s="49"/>
      <c r="GU53" s="49"/>
      <c r="GV53" s="49"/>
      <c r="GW53" s="49"/>
      <c r="GX53" s="49"/>
      <c r="GY53" s="49"/>
      <c r="GZ53" s="49"/>
      <c r="HA53" s="49"/>
      <c r="HB53" s="49"/>
      <c r="HC53" s="49"/>
      <c r="HD53" s="49"/>
      <c r="HE53" s="49"/>
      <c r="HF53" s="49"/>
      <c r="HG53" s="49"/>
      <c r="HH53" s="49"/>
      <c r="HI53" s="49"/>
      <c r="HJ53" s="49"/>
      <c r="HK53" s="49"/>
      <c r="HL53" s="49"/>
      <c r="HM53" s="49"/>
      <c r="HN53" s="49"/>
      <c r="HO53" s="49"/>
      <c r="HP53" s="49"/>
      <c r="HQ53" s="49"/>
      <c r="HR53" s="49"/>
      <c r="HS53" s="49"/>
      <c r="HT53" s="49"/>
      <c r="HU53" s="49"/>
      <c r="HV53" s="49"/>
      <c r="HW53" s="49"/>
      <c r="HX53" s="49"/>
      <c r="HY53" s="49"/>
      <c r="HZ53" s="49"/>
    </row>
    <row r="54" spans="1:234" ht="17.5" x14ac:dyDescent="0.45">
      <c r="A54" s="269" t="s">
        <v>88</v>
      </c>
      <c r="B54" s="281">
        <f t="shared" si="7"/>
        <v>1560.2857142857142</v>
      </c>
      <c r="C54" s="281">
        <f t="shared" si="7"/>
        <v>778.85714285714289</v>
      </c>
      <c r="D54" s="281">
        <f t="shared" si="7"/>
        <v>645.71428571428567</v>
      </c>
      <c r="E54" s="281">
        <f t="shared" si="8"/>
        <v>4089</v>
      </c>
      <c r="F54" s="281">
        <f t="shared" si="9"/>
        <v>155</v>
      </c>
      <c r="G54" s="281">
        <f t="shared" si="4"/>
        <v>4244</v>
      </c>
      <c r="H54" s="281">
        <f t="shared" si="10"/>
        <v>622.28571428571433</v>
      </c>
      <c r="I54" s="281">
        <f t="shared" si="11"/>
        <v>2289.5714285714284</v>
      </c>
      <c r="J54" s="281">
        <f>Table26[[#This Row],[
FRIANT-KERN CANAL -KAWEAH DELTA WCD   1/
CLASS 1]]+Table26[[#This Row],[
FRIANT-KERN CANAL -KAWEAH DELTA WCD   1/
CLASS 2]]</f>
        <v>2911.8571428571427</v>
      </c>
      <c r="K54" s="63">
        <f t="shared" si="5"/>
        <v>7696.1428571428578</v>
      </c>
      <c r="L54" s="57"/>
      <c r="M54" s="63">
        <f t="shared" si="6"/>
        <v>3066.8571428571427</v>
      </c>
      <c r="N54" s="48"/>
      <c r="O54" s="48"/>
      <c r="P54" s="48"/>
      <c r="Q54" s="48"/>
      <c r="R54" s="48"/>
      <c r="S54" s="48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49"/>
      <c r="AW54" s="49"/>
      <c r="AX54" s="49"/>
      <c r="AY54" s="49"/>
      <c r="AZ54" s="49"/>
      <c r="BA54" s="49"/>
      <c r="BB54" s="49"/>
      <c r="BC54" s="49"/>
      <c r="BD54" s="49"/>
      <c r="BE54" s="49"/>
      <c r="BF54" s="49"/>
      <c r="BG54" s="49"/>
      <c r="BH54" s="49"/>
      <c r="BI54" s="49"/>
      <c r="BJ54" s="49"/>
      <c r="BK54" s="49"/>
      <c r="BL54" s="49"/>
      <c r="BM54" s="49"/>
      <c r="BN54" s="49"/>
      <c r="BO54" s="49"/>
      <c r="BP54" s="49"/>
      <c r="BQ54" s="49"/>
      <c r="BR54" s="49"/>
      <c r="BS54" s="49"/>
      <c r="BT54" s="49"/>
      <c r="BU54" s="49"/>
      <c r="BV54" s="49"/>
      <c r="BW54" s="49"/>
      <c r="BX54" s="49"/>
      <c r="BY54" s="49"/>
      <c r="BZ54" s="49"/>
      <c r="CA54" s="49"/>
      <c r="CB54" s="49"/>
      <c r="CC54" s="49"/>
      <c r="CD54" s="49"/>
      <c r="CE54" s="49"/>
      <c r="CF54" s="49"/>
      <c r="CG54" s="49"/>
      <c r="CH54" s="49"/>
      <c r="CI54" s="49"/>
      <c r="CJ54" s="49"/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49"/>
      <c r="CV54" s="49"/>
      <c r="CW54" s="49"/>
      <c r="CX54" s="49"/>
      <c r="CY54" s="49"/>
      <c r="CZ54" s="49"/>
      <c r="DA54" s="49"/>
      <c r="DB54" s="49"/>
      <c r="DC54" s="49"/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49"/>
      <c r="DO54" s="49"/>
      <c r="DP54" s="49"/>
      <c r="DQ54" s="49"/>
      <c r="DR54" s="49"/>
      <c r="DS54" s="49"/>
      <c r="DT54" s="49"/>
      <c r="DU54" s="49"/>
      <c r="DV54" s="49"/>
      <c r="DW54" s="49"/>
      <c r="DX54" s="49"/>
      <c r="DY54" s="49"/>
      <c r="DZ54" s="49"/>
      <c r="EA54" s="49"/>
      <c r="EB54" s="49"/>
      <c r="EC54" s="49"/>
      <c r="ED54" s="49"/>
      <c r="EE54" s="49"/>
      <c r="EF54" s="49"/>
      <c r="EG54" s="49"/>
      <c r="EH54" s="49"/>
      <c r="EI54" s="49"/>
      <c r="EJ54" s="49"/>
      <c r="EK54" s="49"/>
      <c r="EL54" s="49"/>
      <c r="EM54" s="49"/>
      <c r="EN54" s="49"/>
      <c r="EO54" s="49"/>
      <c r="EP54" s="49"/>
      <c r="EQ54" s="49"/>
      <c r="ER54" s="49"/>
      <c r="ES54" s="49"/>
      <c r="ET54" s="49"/>
      <c r="EU54" s="49"/>
      <c r="EV54" s="49"/>
      <c r="EW54" s="49"/>
      <c r="EX54" s="49"/>
      <c r="EY54" s="49"/>
      <c r="EZ54" s="49"/>
      <c r="FA54" s="49"/>
      <c r="FB54" s="49"/>
      <c r="FC54" s="49"/>
      <c r="FD54" s="49"/>
      <c r="FE54" s="49"/>
      <c r="FF54" s="49"/>
      <c r="FG54" s="49"/>
      <c r="FH54" s="49"/>
      <c r="FI54" s="49"/>
      <c r="FJ54" s="49"/>
      <c r="FK54" s="49"/>
      <c r="FL54" s="49"/>
      <c r="FM54" s="49"/>
      <c r="FN54" s="49"/>
      <c r="FO54" s="49"/>
      <c r="FP54" s="49"/>
      <c r="FQ54" s="49"/>
      <c r="FR54" s="49"/>
      <c r="FS54" s="49"/>
      <c r="FT54" s="49"/>
      <c r="FU54" s="49"/>
      <c r="FV54" s="49"/>
      <c r="FW54" s="49"/>
      <c r="FX54" s="49"/>
      <c r="FY54" s="49"/>
      <c r="FZ54" s="49"/>
      <c r="GA54" s="49"/>
      <c r="GB54" s="49"/>
      <c r="GC54" s="49"/>
      <c r="GD54" s="49"/>
      <c r="GE54" s="49"/>
      <c r="GF54" s="49"/>
      <c r="GG54" s="49"/>
      <c r="GH54" s="49"/>
      <c r="GI54" s="49"/>
      <c r="GJ54" s="49"/>
      <c r="GK54" s="49"/>
      <c r="GL54" s="49"/>
      <c r="GM54" s="49"/>
      <c r="GN54" s="49"/>
      <c r="GO54" s="49"/>
      <c r="GP54" s="49"/>
      <c r="GQ54" s="49"/>
      <c r="GR54" s="49"/>
      <c r="GS54" s="49"/>
      <c r="GT54" s="49"/>
      <c r="GU54" s="49"/>
      <c r="GV54" s="49"/>
      <c r="GW54" s="49"/>
      <c r="GX54" s="49"/>
      <c r="GY54" s="49"/>
      <c r="GZ54" s="49"/>
      <c r="HA54" s="49"/>
      <c r="HB54" s="49"/>
      <c r="HC54" s="49"/>
      <c r="HD54" s="49"/>
      <c r="HE54" s="49"/>
      <c r="HF54" s="49"/>
      <c r="HG54" s="49"/>
      <c r="HH54" s="49"/>
      <c r="HI54" s="49"/>
      <c r="HJ54" s="49"/>
      <c r="HK54" s="49"/>
      <c r="HL54" s="49"/>
      <c r="HM54" s="49"/>
      <c r="HN54" s="49"/>
      <c r="HO54" s="49"/>
      <c r="HP54" s="49"/>
      <c r="HQ54" s="49"/>
      <c r="HR54" s="49"/>
      <c r="HS54" s="49"/>
      <c r="HT54" s="49"/>
      <c r="HU54" s="49"/>
      <c r="HV54" s="49"/>
      <c r="HW54" s="49"/>
      <c r="HX54" s="49"/>
      <c r="HY54" s="49"/>
      <c r="HZ54" s="49"/>
    </row>
    <row r="55" spans="1:234" ht="17.5" x14ac:dyDescent="0.45">
      <c r="A55" s="269" t="s">
        <v>89</v>
      </c>
      <c r="B55" s="281">
        <f t="shared" si="7"/>
        <v>1560.2857142857142</v>
      </c>
      <c r="C55" s="281">
        <f t="shared" si="7"/>
        <v>778.85714285714289</v>
      </c>
      <c r="D55" s="281">
        <f t="shared" si="7"/>
        <v>645.71428571428567</v>
      </c>
      <c r="E55" s="281">
        <f t="shared" si="8"/>
        <v>4089</v>
      </c>
      <c r="F55" s="281">
        <f t="shared" si="9"/>
        <v>155</v>
      </c>
      <c r="G55" s="281">
        <f t="shared" si="4"/>
        <v>4244</v>
      </c>
      <c r="H55" s="281">
        <f t="shared" si="10"/>
        <v>622.28571428571433</v>
      </c>
      <c r="I55" s="281">
        <f t="shared" si="11"/>
        <v>2289.5714285714284</v>
      </c>
      <c r="J55" s="281">
        <f>Table26[[#This Row],[
FRIANT-KERN CANAL -KAWEAH DELTA WCD   1/
CLASS 1]]+Table26[[#This Row],[
FRIANT-KERN CANAL -KAWEAH DELTA WCD   1/
CLASS 2]]</f>
        <v>2911.8571428571427</v>
      </c>
      <c r="K55" s="63">
        <f t="shared" si="5"/>
        <v>7696.1428571428578</v>
      </c>
      <c r="L55" s="57"/>
      <c r="M55" s="63">
        <f t="shared" si="6"/>
        <v>3066.8571428571427</v>
      </c>
      <c r="N55" s="48"/>
      <c r="O55" s="48"/>
      <c r="P55" s="48"/>
      <c r="Q55" s="48"/>
      <c r="R55" s="48"/>
      <c r="S55" s="48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49"/>
      <c r="AW55" s="49"/>
      <c r="AX55" s="49"/>
      <c r="AY55" s="49"/>
      <c r="AZ55" s="49"/>
      <c r="BA55" s="49"/>
      <c r="BB55" s="49"/>
      <c r="BC55" s="49"/>
      <c r="BD55" s="49"/>
      <c r="BE55" s="49"/>
      <c r="BF55" s="49"/>
      <c r="BG55" s="49"/>
      <c r="BH55" s="49"/>
      <c r="BI55" s="49"/>
      <c r="BJ55" s="49"/>
      <c r="BK55" s="49"/>
      <c r="BL55" s="49"/>
      <c r="BM55" s="49"/>
      <c r="BN55" s="49"/>
      <c r="BO55" s="49"/>
      <c r="BP55" s="49"/>
      <c r="BQ55" s="49"/>
      <c r="BR55" s="49"/>
      <c r="BS55" s="49"/>
      <c r="BT55" s="49"/>
      <c r="BU55" s="49"/>
      <c r="BV55" s="49"/>
      <c r="BW55" s="49"/>
      <c r="BX55" s="49"/>
      <c r="BY55" s="49"/>
      <c r="BZ55" s="49"/>
      <c r="CA55" s="49"/>
      <c r="CB55" s="49"/>
      <c r="CC55" s="49"/>
      <c r="CD55" s="49"/>
      <c r="CE55" s="49"/>
      <c r="CF55" s="49"/>
      <c r="CG55" s="49"/>
      <c r="CH55" s="49"/>
      <c r="CI55" s="49"/>
      <c r="CJ55" s="49"/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49"/>
      <c r="CV55" s="49"/>
      <c r="CW55" s="49"/>
      <c r="CX55" s="49"/>
      <c r="CY55" s="49"/>
      <c r="CZ55" s="49"/>
      <c r="DA55" s="49"/>
      <c r="DB55" s="49"/>
      <c r="DC55" s="49"/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49"/>
      <c r="DO55" s="49"/>
      <c r="DP55" s="49"/>
      <c r="DQ55" s="49"/>
      <c r="DR55" s="49"/>
      <c r="DS55" s="49"/>
      <c r="DT55" s="49"/>
      <c r="DU55" s="49"/>
      <c r="DV55" s="49"/>
      <c r="DW55" s="49"/>
      <c r="DX55" s="49"/>
      <c r="DY55" s="49"/>
      <c r="DZ55" s="49"/>
      <c r="EA55" s="49"/>
      <c r="EB55" s="49"/>
      <c r="EC55" s="49"/>
      <c r="ED55" s="49"/>
      <c r="EE55" s="49"/>
      <c r="EF55" s="49"/>
      <c r="EG55" s="49"/>
      <c r="EH55" s="49"/>
      <c r="EI55" s="49"/>
      <c r="EJ55" s="49"/>
      <c r="EK55" s="49"/>
      <c r="EL55" s="49"/>
      <c r="EM55" s="49"/>
      <c r="EN55" s="49"/>
      <c r="EO55" s="49"/>
      <c r="EP55" s="49"/>
      <c r="EQ55" s="49"/>
      <c r="ER55" s="49"/>
      <c r="ES55" s="49"/>
      <c r="ET55" s="49"/>
      <c r="EU55" s="49"/>
      <c r="EV55" s="49"/>
      <c r="EW55" s="49"/>
      <c r="EX55" s="49"/>
      <c r="EY55" s="49"/>
      <c r="EZ55" s="49"/>
      <c r="FA55" s="49"/>
      <c r="FB55" s="49"/>
      <c r="FC55" s="49"/>
      <c r="FD55" s="49"/>
      <c r="FE55" s="49"/>
      <c r="FF55" s="49"/>
      <c r="FG55" s="49"/>
      <c r="FH55" s="49"/>
      <c r="FI55" s="49"/>
      <c r="FJ55" s="49"/>
      <c r="FK55" s="49"/>
      <c r="FL55" s="49"/>
      <c r="FM55" s="49"/>
      <c r="FN55" s="49"/>
      <c r="FO55" s="49"/>
      <c r="FP55" s="49"/>
      <c r="FQ55" s="49"/>
      <c r="FR55" s="49"/>
      <c r="FS55" s="49"/>
      <c r="FT55" s="49"/>
      <c r="FU55" s="49"/>
      <c r="FV55" s="49"/>
      <c r="FW55" s="49"/>
      <c r="FX55" s="49"/>
      <c r="FY55" s="49"/>
      <c r="FZ55" s="49"/>
      <c r="GA55" s="49"/>
      <c r="GB55" s="49"/>
      <c r="GC55" s="49"/>
      <c r="GD55" s="49"/>
      <c r="GE55" s="49"/>
      <c r="GF55" s="49"/>
      <c r="GG55" s="49"/>
      <c r="GH55" s="49"/>
      <c r="GI55" s="49"/>
      <c r="GJ55" s="49"/>
      <c r="GK55" s="49"/>
      <c r="GL55" s="49"/>
      <c r="GM55" s="49"/>
      <c r="GN55" s="49"/>
      <c r="GO55" s="49"/>
      <c r="GP55" s="49"/>
      <c r="GQ55" s="49"/>
      <c r="GR55" s="49"/>
      <c r="GS55" s="49"/>
      <c r="GT55" s="49"/>
      <c r="GU55" s="49"/>
      <c r="GV55" s="49"/>
      <c r="GW55" s="49"/>
      <c r="GX55" s="49"/>
      <c r="GY55" s="49"/>
      <c r="GZ55" s="49"/>
      <c r="HA55" s="49"/>
      <c r="HB55" s="49"/>
      <c r="HC55" s="49"/>
      <c r="HD55" s="49"/>
      <c r="HE55" s="49"/>
      <c r="HF55" s="49"/>
      <c r="HG55" s="49"/>
      <c r="HH55" s="49"/>
      <c r="HI55" s="49"/>
      <c r="HJ55" s="49"/>
      <c r="HK55" s="49"/>
      <c r="HL55" s="49"/>
      <c r="HM55" s="49"/>
      <c r="HN55" s="49"/>
      <c r="HO55" s="49"/>
      <c r="HP55" s="49"/>
      <c r="HQ55" s="49"/>
      <c r="HR55" s="49"/>
      <c r="HS55" s="49"/>
      <c r="HT55" s="49"/>
      <c r="HU55" s="49"/>
      <c r="HV55" s="49"/>
      <c r="HW55" s="49"/>
      <c r="HX55" s="49"/>
      <c r="HY55" s="49"/>
      <c r="HZ55" s="49"/>
    </row>
    <row r="56" spans="1:234" ht="18" thickBot="1" x14ac:dyDescent="0.5">
      <c r="A56" s="269" t="s">
        <v>90</v>
      </c>
      <c r="B56" s="281">
        <f t="shared" si="7"/>
        <v>1560.2857142857142</v>
      </c>
      <c r="C56" s="281">
        <f t="shared" si="7"/>
        <v>778.85714285714289</v>
      </c>
      <c r="D56" s="281">
        <f t="shared" si="7"/>
        <v>645.71428571428567</v>
      </c>
      <c r="E56" s="281">
        <f>E55</f>
        <v>4089</v>
      </c>
      <c r="F56" s="281">
        <f>F55</f>
        <v>155</v>
      </c>
      <c r="G56" s="281">
        <f t="shared" si="4"/>
        <v>4244</v>
      </c>
      <c r="H56" s="281">
        <f>H55</f>
        <v>622.28571428571433</v>
      </c>
      <c r="I56" s="281">
        <f t="shared" si="11"/>
        <v>2289.5714285714284</v>
      </c>
      <c r="J56" s="281">
        <f>Table26[[#This Row],[
FRIANT-KERN CANAL -KAWEAH DELTA WCD   1/
CLASS 1]]+Table26[[#This Row],[
FRIANT-KERN CANAL -KAWEAH DELTA WCD   1/
CLASS 2]]</f>
        <v>2911.8571428571427</v>
      </c>
      <c r="K56" s="63">
        <f t="shared" si="5"/>
        <v>7696.1428571428578</v>
      </c>
      <c r="L56" s="57"/>
      <c r="M56" s="63">
        <f t="shared" si="6"/>
        <v>3066.8571428571427</v>
      </c>
      <c r="N56" s="48"/>
      <c r="O56" s="48"/>
      <c r="P56" s="48"/>
      <c r="Q56" s="48"/>
      <c r="R56" s="48"/>
      <c r="S56" s="48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  <c r="AT56" s="49"/>
      <c r="AU56" s="49"/>
      <c r="AV56" s="49"/>
      <c r="AW56" s="49"/>
      <c r="AX56" s="49"/>
      <c r="AY56" s="49"/>
      <c r="AZ56" s="49"/>
      <c r="BA56" s="49"/>
      <c r="BB56" s="49"/>
      <c r="BC56" s="49"/>
      <c r="BD56" s="49"/>
      <c r="BE56" s="49"/>
      <c r="BF56" s="49"/>
      <c r="BG56" s="49"/>
      <c r="BH56" s="49"/>
      <c r="BI56" s="49"/>
      <c r="BJ56" s="49"/>
      <c r="BK56" s="49"/>
      <c r="BL56" s="49"/>
      <c r="BM56" s="49"/>
      <c r="BN56" s="49"/>
      <c r="BO56" s="49"/>
      <c r="BP56" s="49"/>
      <c r="BQ56" s="49"/>
      <c r="BR56" s="49"/>
      <c r="BS56" s="49"/>
      <c r="BT56" s="49"/>
      <c r="BU56" s="49"/>
      <c r="BV56" s="49"/>
      <c r="BW56" s="49"/>
      <c r="BX56" s="49"/>
      <c r="BY56" s="49"/>
      <c r="BZ56" s="49"/>
      <c r="CA56" s="49"/>
      <c r="CB56" s="49"/>
      <c r="CC56" s="49"/>
      <c r="CD56" s="49"/>
      <c r="CE56" s="49"/>
      <c r="CF56" s="49"/>
      <c r="CG56" s="49"/>
      <c r="CH56" s="49"/>
      <c r="CI56" s="49"/>
      <c r="CJ56" s="49"/>
      <c r="CK56" s="49"/>
      <c r="CL56" s="49"/>
      <c r="CM56" s="49"/>
      <c r="CN56" s="49"/>
      <c r="CO56" s="49"/>
      <c r="CP56" s="49"/>
      <c r="CQ56" s="49"/>
      <c r="CR56" s="49"/>
      <c r="CS56" s="49"/>
      <c r="CT56" s="49"/>
      <c r="CU56" s="49"/>
      <c r="CV56" s="49"/>
      <c r="CW56" s="49"/>
      <c r="CX56" s="49"/>
      <c r="CY56" s="49"/>
      <c r="CZ56" s="49"/>
      <c r="DA56" s="49"/>
      <c r="DB56" s="49"/>
      <c r="DC56" s="49"/>
      <c r="DD56" s="49"/>
      <c r="DE56" s="49"/>
      <c r="DF56" s="49"/>
      <c r="DG56" s="49"/>
      <c r="DH56" s="49"/>
      <c r="DI56" s="49"/>
      <c r="DJ56" s="49"/>
      <c r="DK56" s="49"/>
      <c r="DL56" s="49"/>
      <c r="DM56" s="49"/>
      <c r="DN56" s="49"/>
      <c r="DO56" s="49"/>
      <c r="DP56" s="49"/>
      <c r="DQ56" s="49"/>
      <c r="DR56" s="49"/>
      <c r="DS56" s="49"/>
      <c r="DT56" s="49"/>
      <c r="DU56" s="49"/>
      <c r="DV56" s="49"/>
      <c r="DW56" s="49"/>
      <c r="DX56" s="49"/>
      <c r="DY56" s="49"/>
      <c r="DZ56" s="49"/>
      <c r="EA56" s="49"/>
      <c r="EB56" s="49"/>
      <c r="EC56" s="49"/>
      <c r="ED56" s="49"/>
      <c r="EE56" s="49"/>
      <c r="EF56" s="49"/>
      <c r="EG56" s="49"/>
      <c r="EH56" s="49"/>
      <c r="EI56" s="49"/>
      <c r="EJ56" s="49"/>
      <c r="EK56" s="49"/>
      <c r="EL56" s="49"/>
      <c r="EM56" s="49"/>
      <c r="EN56" s="49"/>
      <c r="EO56" s="49"/>
      <c r="EP56" s="49"/>
      <c r="EQ56" s="49"/>
      <c r="ER56" s="49"/>
      <c r="ES56" s="49"/>
      <c r="ET56" s="49"/>
      <c r="EU56" s="49"/>
      <c r="EV56" s="49"/>
      <c r="EW56" s="49"/>
      <c r="EX56" s="49"/>
      <c r="EY56" s="49"/>
      <c r="EZ56" s="49"/>
      <c r="FA56" s="49"/>
      <c r="FB56" s="49"/>
      <c r="FC56" s="49"/>
      <c r="FD56" s="49"/>
      <c r="FE56" s="49"/>
      <c r="FF56" s="49"/>
      <c r="FG56" s="49"/>
      <c r="FH56" s="49"/>
      <c r="FI56" s="49"/>
      <c r="FJ56" s="49"/>
      <c r="FK56" s="49"/>
      <c r="FL56" s="49"/>
      <c r="FM56" s="49"/>
      <c r="FN56" s="49"/>
      <c r="FO56" s="49"/>
      <c r="FP56" s="49"/>
      <c r="FQ56" s="49"/>
      <c r="FR56" s="49"/>
      <c r="FS56" s="49"/>
      <c r="FT56" s="49"/>
      <c r="FU56" s="49"/>
      <c r="FV56" s="49"/>
      <c r="FW56" s="49"/>
      <c r="FX56" s="49"/>
      <c r="FY56" s="49"/>
      <c r="FZ56" s="49"/>
      <c r="GA56" s="49"/>
      <c r="GB56" s="49"/>
      <c r="GC56" s="49"/>
      <c r="GD56" s="49"/>
      <c r="GE56" s="49"/>
      <c r="GF56" s="49"/>
      <c r="GG56" s="49"/>
      <c r="GH56" s="49"/>
      <c r="GI56" s="49"/>
      <c r="GJ56" s="49"/>
      <c r="GK56" s="49"/>
      <c r="GL56" s="49"/>
      <c r="GM56" s="49"/>
      <c r="GN56" s="49"/>
      <c r="GO56" s="49"/>
      <c r="GP56" s="49"/>
      <c r="GQ56" s="49"/>
      <c r="GR56" s="49"/>
      <c r="GS56" s="49"/>
      <c r="GT56" s="49"/>
      <c r="GU56" s="49"/>
      <c r="GV56" s="49"/>
      <c r="GW56" s="49"/>
      <c r="GX56" s="49"/>
      <c r="GY56" s="49"/>
      <c r="GZ56" s="49"/>
      <c r="HA56" s="49"/>
      <c r="HB56" s="49"/>
      <c r="HC56" s="49"/>
      <c r="HD56" s="49"/>
      <c r="HE56" s="49"/>
      <c r="HF56" s="49"/>
      <c r="HG56" s="49"/>
      <c r="HH56" s="49"/>
      <c r="HI56" s="49"/>
      <c r="HJ56" s="49"/>
      <c r="HK56" s="49"/>
      <c r="HL56" s="49"/>
      <c r="HM56" s="49"/>
      <c r="HN56" s="49"/>
      <c r="HO56" s="49"/>
      <c r="HP56" s="49"/>
      <c r="HQ56" s="49"/>
      <c r="HR56" s="49"/>
      <c r="HS56" s="49"/>
      <c r="HT56" s="49"/>
      <c r="HU56" s="49"/>
      <c r="HV56" s="49"/>
      <c r="HW56" s="49"/>
      <c r="HX56" s="49"/>
      <c r="HY56" s="49"/>
      <c r="HZ56" s="49"/>
    </row>
    <row r="57" spans="1:234" ht="18.5" x14ac:dyDescent="0.45">
      <c r="A57" s="269" t="s">
        <v>91</v>
      </c>
      <c r="B57" s="285">
        <f t="shared" ref="B57:H57" si="12">SUM(B7:B56)</f>
        <v>133450.57142857139</v>
      </c>
      <c r="C57" s="285">
        <f t="shared" si="12"/>
        <v>13069.714285714288</v>
      </c>
      <c r="D57" s="285">
        <f t="shared" si="12"/>
        <v>47667.428571428543</v>
      </c>
      <c r="E57" s="285">
        <f t="shared" si="12"/>
        <v>269196.93506493501</v>
      </c>
      <c r="F57" s="285">
        <f t="shared" si="12"/>
        <v>8907.1518987341788</v>
      </c>
      <c r="G57" s="285">
        <f t="shared" si="12"/>
        <v>278104.08696366928</v>
      </c>
      <c r="H57" s="285">
        <f t="shared" si="12"/>
        <v>14191.571428571424</v>
      </c>
      <c r="I57" s="285">
        <f t="shared" ref="I57" si="13">SUM(I7:I56)</f>
        <v>51433.142857142848</v>
      </c>
      <c r="J57" s="285">
        <f>Table26[[#This Row],[
FRIANT-KERN CANAL -KAWEAH DELTA WCD   1/
CLASS 1]]+Table26[[#This Row],[
FRIANT-KERN CANAL -KAWEAH DELTA WCD   1/
CLASS 2]]</f>
        <v>65624.714285714275</v>
      </c>
      <c r="K57" s="70"/>
      <c r="L57" s="87"/>
      <c r="M57" s="87"/>
      <c r="N57" s="20"/>
      <c r="O57" s="20"/>
      <c r="P57" s="20"/>
      <c r="Q57" s="20"/>
      <c r="R57" s="20"/>
      <c r="S57" s="20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  <c r="AM57" s="21"/>
      <c r="AN57" s="21"/>
      <c r="AO57" s="21"/>
      <c r="AP57" s="21"/>
      <c r="AQ57" s="21"/>
      <c r="AR57" s="21"/>
      <c r="AS57" s="21"/>
      <c r="AT57" s="21"/>
      <c r="AU57" s="21"/>
      <c r="AV57" s="21"/>
      <c r="AW57" s="21"/>
      <c r="AX57" s="21"/>
      <c r="AY57" s="21"/>
      <c r="AZ57" s="21"/>
      <c r="BA57" s="21"/>
      <c r="BB57" s="21"/>
      <c r="BC57" s="21"/>
      <c r="BD57" s="21"/>
      <c r="BE57" s="21"/>
      <c r="BF57" s="21"/>
      <c r="BG57" s="21"/>
      <c r="BH57" s="21"/>
      <c r="BI57" s="21"/>
      <c r="BJ57" s="21"/>
      <c r="BK57" s="21"/>
      <c r="BL57" s="21"/>
      <c r="BM57" s="21"/>
      <c r="BN57" s="21"/>
      <c r="BO57" s="21"/>
      <c r="BP57" s="21"/>
      <c r="BQ57" s="21"/>
      <c r="BR57" s="21"/>
      <c r="BS57" s="21"/>
      <c r="BT57" s="21"/>
      <c r="BU57" s="21"/>
      <c r="BV57" s="21"/>
      <c r="BW57" s="21"/>
      <c r="BX57" s="21"/>
      <c r="BY57" s="21"/>
      <c r="BZ57" s="21"/>
      <c r="CA57" s="21"/>
      <c r="CB57" s="21"/>
      <c r="CC57" s="21"/>
      <c r="CD57" s="21"/>
      <c r="CE57" s="21"/>
      <c r="CF57" s="21"/>
      <c r="CG57" s="21"/>
      <c r="CH57" s="21"/>
      <c r="CI57" s="21"/>
      <c r="CJ57" s="21"/>
      <c r="CK57" s="21"/>
      <c r="CL57" s="21"/>
      <c r="CM57" s="21"/>
      <c r="CN57" s="21"/>
      <c r="CO57" s="21"/>
      <c r="CP57" s="21"/>
      <c r="CQ57" s="21"/>
      <c r="CR57" s="21"/>
      <c r="CS57" s="21"/>
      <c r="CT57" s="21"/>
      <c r="CU57" s="21"/>
      <c r="CV57" s="21"/>
      <c r="CW57" s="21"/>
      <c r="CX57" s="21"/>
      <c r="CY57" s="21"/>
      <c r="CZ57" s="21"/>
      <c r="DA57" s="21"/>
      <c r="DB57" s="21"/>
      <c r="DC57" s="21"/>
      <c r="DD57" s="21"/>
      <c r="DE57" s="21"/>
      <c r="DF57" s="21"/>
      <c r="DG57" s="21"/>
      <c r="DH57" s="21"/>
      <c r="DI57" s="21"/>
      <c r="DJ57" s="21"/>
      <c r="DK57" s="21"/>
      <c r="DL57" s="21"/>
      <c r="DM57" s="21"/>
      <c r="DN57" s="21"/>
      <c r="DO57" s="21"/>
      <c r="DP57" s="21"/>
      <c r="DQ57" s="21"/>
      <c r="DR57" s="21"/>
      <c r="DS57" s="21"/>
      <c r="DT57" s="21"/>
      <c r="DU57" s="21"/>
      <c r="DV57" s="21"/>
      <c r="DW57" s="21"/>
      <c r="DX57" s="21"/>
      <c r="DY57" s="21"/>
      <c r="DZ57" s="21"/>
      <c r="EA57" s="21"/>
      <c r="EB57" s="21"/>
      <c r="EC57" s="21"/>
      <c r="ED57" s="21"/>
      <c r="EE57" s="21"/>
      <c r="EF57" s="21"/>
      <c r="EG57" s="21"/>
      <c r="EH57" s="21"/>
      <c r="EI57" s="21"/>
      <c r="EJ57" s="21"/>
      <c r="EK57" s="21"/>
      <c r="EL57" s="21"/>
      <c r="EM57" s="21"/>
      <c r="EN57" s="21"/>
      <c r="EO57" s="21"/>
      <c r="EP57" s="21"/>
      <c r="EQ57" s="21"/>
      <c r="ER57" s="21"/>
      <c r="ES57" s="21"/>
      <c r="ET57" s="21"/>
      <c r="EU57" s="21"/>
      <c r="EV57" s="21"/>
      <c r="EW57" s="21"/>
      <c r="EX57" s="21"/>
      <c r="EY57" s="21"/>
      <c r="EZ57" s="21"/>
      <c r="FA57" s="21"/>
      <c r="FB57" s="21"/>
      <c r="FC57" s="21"/>
      <c r="FD57" s="21"/>
      <c r="FE57" s="21"/>
      <c r="FF57" s="21"/>
      <c r="FG57" s="21"/>
      <c r="FH57" s="21"/>
      <c r="FI57" s="21"/>
      <c r="FJ57" s="21"/>
      <c r="FK57" s="21"/>
      <c r="FL57" s="21"/>
      <c r="FM57" s="21"/>
      <c r="FN57" s="21"/>
      <c r="FO57" s="21"/>
      <c r="FP57" s="21"/>
      <c r="FQ57" s="21"/>
      <c r="FR57" s="21"/>
      <c r="FS57" s="21"/>
      <c r="FT57" s="21"/>
      <c r="FU57" s="21"/>
      <c r="FV57" s="21"/>
      <c r="FW57" s="21"/>
      <c r="FX57" s="21"/>
      <c r="FY57" s="21"/>
      <c r="FZ57" s="21"/>
      <c r="GA57" s="21"/>
      <c r="GB57" s="21"/>
      <c r="GC57" s="21"/>
      <c r="GD57" s="21"/>
      <c r="GE57" s="21"/>
      <c r="GF57" s="21"/>
      <c r="GG57" s="21"/>
      <c r="GH57" s="21"/>
      <c r="GI57" s="21"/>
      <c r="GJ57" s="21"/>
      <c r="GK57" s="21"/>
      <c r="GL57" s="21"/>
      <c r="GM57" s="21"/>
      <c r="GN57" s="21"/>
      <c r="GO57" s="21"/>
      <c r="GP57" s="21"/>
      <c r="GQ57" s="21"/>
      <c r="GR57" s="21"/>
      <c r="GS57" s="21"/>
      <c r="GT57" s="21"/>
      <c r="GU57" s="21"/>
      <c r="GV57" s="21"/>
      <c r="GW57" s="21"/>
      <c r="GX57" s="21"/>
      <c r="GY57" s="21"/>
      <c r="GZ57" s="21"/>
      <c r="HA57" s="21"/>
      <c r="HB57" s="21"/>
      <c r="HC57" s="21"/>
      <c r="HD57" s="21"/>
      <c r="HE57" s="21"/>
      <c r="HF57" s="21"/>
      <c r="HG57" s="21"/>
      <c r="HH57" s="21"/>
      <c r="HI57" s="21"/>
      <c r="HJ57" s="21"/>
      <c r="HK57" s="21"/>
      <c r="HL57" s="21"/>
      <c r="HM57" s="21"/>
      <c r="HN57" s="21"/>
      <c r="HO57" s="21"/>
      <c r="HP57" s="21"/>
      <c r="HQ57" s="21"/>
      <c r="HR57" s="21"/>
      <c r="HS57" s="21"/>
      <c r="HT57" s="21"/>
      <c r="HU57" s="21"/>
      <c r="HV57" s="21"/>
      <c r="HW57" s="21"/>
      <c r="HX57" s="21"/>
      <c r="HY57" s="21"/>
      <c r="HZ57" s="21"/>
    </row>
    <row r="58" spans="1:234" ht="18.5" x14ac:dyDescent="0.45">
      <c r="A58" s="269" t="str">
        <f>Page_8!A58</f>
        <v>7 - Year Hist Avg (A-12)</v>
      </c>
      <c r="B58" s="281">
        <f>AVERAGE(B41:B47)</f>
        <v>1560.2857142857142</v>
      </c>
      <c r="C58" s="281">
        <f>AVERAGE(C41:C47)</f>
        <v>778.85714285714289</v>
      </c>
      <c r="D58" s="281">
        <f>AVERAGE(D41:D47)</f>
        <v>645.71428571428567</v>
      </c>
      <c r="E58" s="281">
        <f>AVERAGE(E41:E47)</f>
        <v>4089</v>
      </c>
      <c r="F58" s="281">
        <f>AVERAGE(F41:F47)</f>
        <v>155</v>
      </c>
      <c r="G58" s="281">
        <f>SUM(E58:F58)</f>
        <v>4244</v>
      </c>
      <c r="H58" s="281">
        <f>AVERAGE(H41:H47)</f>
        <v>622.28571428571433</v>
      </c>
      <c r="I58" s="281">
        <f>AVERAGE(I41:I47)</f>
        <v>2289.5714285714284</v>
      </c>
      <c r="J58" s="281">
        <f>Table26[[#This Row],[
FRIANT-KERN CANAL -KAWEAH DELTA WCD   1/
CLASS 1]]+Table26[[#This Row],[
FRIANT-KERN CANAL -KAWEAH DELTA WCD   1/
CLASS 2]]</f>
        <v>2911.8571428571427</v>
      </c>
      <c r="K58" s="63">
        <f>SUM(B58,C58,D58,E58,H58)</f>
        <v>7696.1428571428578</v>
      </c>
      <c r="L58" s="57"/>
      <c r="M58" s="63">
        <f>SUM(F58,J58)</f>
        <v>3066.8571428571427</v>
      </c>
      <c r="N58" s="20"/>
      <c r="O58" s="20"/>
      <c r="P58" s="20"/>
      <c r="Q58" s="20"/>
      <c r="R58" s="20"/>
      <c r="S58" s="20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  <c r="AM58" s="21"/>
      <c r="AN58" s="21"/>
      <c r="AO58" s="21"/>
      <c r="AP58" s="21"/>
      <c r="AQ58" s="21"/>
      <c r="AR58" s="21"/>
      <c r="AS58" s="21"/>
      <c r="AT58" s="21"/>
      <c r="AU58" s="21"/>
      <c r="AV58" s="21"/>
      <c r="AW58" s="21"/>
      <c r="AX58" s="21"/>
      <c r="AY58" s="21"/>
      <c r="AZ58" s="21"/>
      <c r="BA58" s="21"/>
      <c r="BB58" s="21"/>
      <c r="BC58" s="21"/>
      <c r="BD58" s="21"/>
      <c r="BE58" s="21"/>
      <c r="BF58" s="21"/>
      <c r="BG58" s="21"/>
      <c r="BH58" s="21"/>
      <c r="BI58" s="21"/>
      <c r="BJ58" s="21"/>
      <c r="BK58" s="21"/>
      <c r="BL58" s="21"/>
      <c r="BM58" s="21"/>
      <c r="BN58" s="21"/>
      <c r="BO58" s="21"/>
      <c r="BP58" s="21"/>
      <c r="BQ58" s="21"/>
      <c r="BR58" s="21"/>
      <c r="BS58" s="21"/>
      <c r="BT58" s="21"/>
      <c r="BU58" s="21"/>
      <c r="BV58" s="21"/>
      <c r="BW58" s="21"/>
      <c r="BX58" s="21"/>
      <c r="BY58" s="21"/>
      <c r="BZ58" s="21"/>
      <c r="CA58" s="21"/>
      <c r="CB58" s="21"/>
      <c r="CC58" s="21"/>
      <c r="CD58" s="21"/>
      <c r="CE58" s="21"/>
      <c r="CF58" s="21"/>
      <c r="CG58" s="21"/>
      <c r="CH58" s="21"/>
      <c r="CI58" s="21"/>
      <c r="CJ58" s="21"/>
      <c r="CK58" s="21"/>
      <c r="CL58" s="21"/>
      <c r="CM58" s="21"/>
      <c r="CN58" s="21"/>
      <c r="CO58" s="21"/>
      <c r="CP58" s="21"/>
      <c r="CQ58" s="21"/>
      <c r="CR58" s="21"/>
      <c r="CS58" s="21"/>
      <c r="CT58" s="21"/>
      <c r="CU58" s="21"/>
      <c r="CV58" s="21"/>
      <c r="CW58" s="21"/>
      <c r="CX58" s="21"/>
      <c r="CY58" s="21"/>
      <c r="CZ58" s="21"/>
      <c r="DA58" s="21"/>
      <c r="DB58" s="21"/>
      <c r="DC58" s="21"/>
      <c r="DD58" s="21"/>
      <c r="DE58" s="21"/>
      <c r="DF58" s="21"/>
      <c r="DG58" s="21"/>
      <c r="DH58" s="21"/>
      <c r="DI58" s="21"/>
      <c r="DJ58" s="21"/>
      <c r="DK58" s="21"/>
      <c r="DL58" s="21"/>
      <c r="DM58" s="21"/>
      <c r="DN58" s="21"/>
      <c r="DO58" s="21"/>
      <c r="DP58" s="21"/>
      <c r="DQ58" s="21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  <c r="EE58" s="21"/>
      <c r="EF58" s="21"/>
      <c r="EG58" s="21"/>
      <c r="EH58" s="21"/>
      <c r="EI58" s="21"/>
      <c r="EJ58" s="21"/>
      <c r="EK58" s="21"/>
      <c r="EL58" s="21"/>
      <c r="EM58" s="21"/>
      <c r="EN58" s="21"/>
      <c r="EO58" s="21"/>
      <c r="EP58" s="21"/>
      <c r="EQ58" s="21"/>
      <c r="ER58" s="21"/>
      <c r="ES58" s="21"/>
      <c r="ET58" s="21"/>
      <c r="EU58" s="21"/>
      <c r="EV58" s="21"/>
      <c r="EW58" s="21"/>
      <c r="EX58" s="21"/>
      <c r="EY58" s="21"/>
      <c r="EZ58" s="21"/>
      <c r="FA58" s="21"/>
      <c r="FB58" s="21"/>
      <c r="FC58" s="21"/>
      <c r="FD58" s="21"/>
      <c r="FE58" s="21"/>
      <c r="FF58" s="21"/>
      <c r="FG58" s="21"/>
      <c r="FH58" s="21"/>
      <c r="FI58" s="21"/>
      <c r="FJ58" s="21"/>
      <c r="FK58" s="21"/>
      <c r="FL58" s="21"/>
      <c r="FM58" s="21"/>
      <c r="FN58" s="21"/>
      <c r="FO58" s="21"/>
      <c r="FP58" s="21"/>
      <c r="FQ58" s="21"/>
      <c r="FR58" s="21"/>
      <c r="FS58" s="21"/>
      <c r="FT58" s="21"/>
      <c r="FU58" s="21"/>
      <c r="FV58" s="21"/>
      <c r="FW58" s="21"/>
      <c r="FX58" s="21"/>
      <c r="FY58" s="21"/>
      <c r="FZ58" s="21"/>
      <c r="GA58" s="21"/>
      <c r="GB58" s="21"/>
      <c r="GC58" s="21"/>
      <c r="GD58" s="21"/>
      <c r="GE58" s="21"/>
      <c r="GF58" s="21"/>
      <c r="GG58" s="21"/>
      <c r="GH58" s="21"/>
      <c r="GI58" s="21"/>
      <c r="GJ58" s="21"/>
      <c r="GK58" s="21"/>
      <c r="GL58" s="21"/>
      <c r="GM58" s="21"/>
      <c r="GN58" s="21"/>
      <c r="GO58" s="21"/>
      <c r="GP58" s="21"/>
      <c r="GQ58" s="21"/>
      <c r="GR58" s="21"/>
      <c r="GS58" s="21"/>
      <c r="GT58" s="21"/>
      <c r="GU58" s="21"/>
      <c r="GV58" s="21"/>
      <c r="GW58" s="21"/>
      <c r="GX58" s="21"/>
      <c r="GY58" s="21"/>
      <c r="GZ58" s="21"/>
      <c r="HA58" s="21"/>
      <c r="HB58" s="21"/>
      <c r="HC58" s="21"/>
      <c r="HD58" s="21"/>
      <c r="HE58" s="21"/>
      <c r="HF58" s="21"/>
      <c r="HG58" s="21"/>
      <c r="HH58" s="21"/>
      <c r="HI58" s="21"/>
      <c r="HJ58" s="21"/>
      <c r="HK58" s="21"/>
      <c r="HL58" s="21"/>
      <c r="HM58" s="21"/>
      <c r="HN58" s="21"/>
      <c r="HO58" s="21"/>
      <c r="HP58" s="21"/>
      <c r="HQ58" s="21"/>
      <c r="HR58" s="21"/>
      <c r="HS58" s="21"/>
      <c r="HT58" s="21"/>
      <c r="HU58" s="21"/>
      <c r="HV58" s="21"/>
      <c r="HW58" s="21"/>
      <c r="HX58" s="21"/>
      <c r="HY58" s="21"/>
      <c r="HZ58" s="21"/>
    </row>
    <row r="59" spans="1:234" ht="17.5" x14ac:dyDescent="0.45">
      <c r="A59" s="272" t="str">
        <f>Page_8!A59</f>
        <v>Projected Del. (A-2ba)</v>
      </c>
      <c r="B59" s="281">
        <f>SUM(B49:B56)</f>
        <v>12482.285714285712</v>
      </c>
      <c r="C59" s="281">
        <f>SUM(C49:C56)</f>
        <v>6230.857142857144</v>
      </c>
      <c r="D59" s="281">
        <f>SUM(D49:D56)</f>
        <v>5165.7142857142853</v>
      </c>
      <c r="E59" s="281">
        <f>SUM(E49:E56)</f>
        <v>32712</v>
      </c>
      <c r="F59" s="281">
        <f>SUM(F49:F56)</f>
        <v>1240</v>
      </c>
      <c r="G59" s="281">
        <f>SUM(E59:F59)</f>
        <v>33952</v>
      </c>
      <c r="H59" s="281">
        <f>SUM(H49:H56)</f>
        <v>4978.2857142857147</v>
      </c>
      <c r="I59" s="281">
        <f>SUM(I49:I56)</f>
        <v>18316.571428571424</v>
      </c>
      <c r="J59" s="281">
        <f>Table26[[#This Row],[
FRIANT-KERN CANAL -KAWEAH DELTA WCD   1/
CLASS 1]]+Table26[[#This Row],[
FRIANT-KERN CANAL -KAWEAH DELTA WCD   1/
CLASS 2]]</f>
        <v>23294.857142857138</v>
      </c>
      <c r="K59" s="63">
        <f>SUM(B59,C59,D59,E59,H59)</f>
        <v>61569.142857142862</v>
      </c>
      <c r="L59" s="57"/>
      <c r="M59" s="63">
        <f>SUM(F59,J59)</f>
        <v>24534.857142857138</v>
      </c>
      <c r="N59" s="30"/>
      <c r="O59" s="30"/>
      <c r="P59" s="30"/>
      <c r="Q59" s="30"/>
      <c r="R59" s="30"/>
      <c r="S59" s="30"/>
    </row>
    <row r="60" spans="1:234" x14ac:dyDescent="0.35">
      <c r="A60" s="55"/>
      <c r="B60" s="5"/>
      <c r="C60" s="5"/>
      <c r="D60" s="5"/>
      <c r="E60" s="56" t="s">
        <v>102</v>
      </c>
      <c r="F60" s="56" t="s">
        <v>102</v>
      </c>
      <c r="G60" s="56" t="s">
        <v>102</v>
      </c>
      <c r="H60" s="56" t="s">
        <v>102</v>
      </c>
      <c r="I60" s="56"/>
      <c r="J60" s="56" t="s">
        <v>102</v>
      </c>
      <c r="K60" s="56" t="s">
        <v>102</v>
      </c>
      <c r="L60" s="56" t="s">
        <v>102</v>
      </c>
      <c r="M60" s="57"/>
      <c r="N60" s="57"/>
      <c r="O60" s="30"/>
      <c r="P60" s="30"/>
      <c r="Q60" s="30"/>
      <c r="R60" s="30"/>
      <c r="S60" s="30"/>
      <c r="T60" s="30"/>
    </row>
    <row r="61" spans="1:234" x14ac:dyDescent="0.35">
      <c r="A61" s="55"/>
      <c r="B61" s="5"/>
      <c r="C61" s="5"/>
      <c r="D61" s="5"/>
      <c r="E61" s="56" t="s">
        <v>102</v>
      </c>
      <c r="F61" s="56" t="s">
        <v>102</v>
      </c>
      <c r="G61" s="56" t="s">
        <v>102</v>
      </c>
      <c r="H61" s="56" t="s">
        <v>102</v>
      </c>
      <c r="I61" s="56"/>
      <c r="J61" s="56" t="s">
        <v>102</v>
      </c>
      <c r="K61" s="56" t="s">
        <v>102</v>
      </c>
      <c r="L61" s="56" t="s">
        <v>102</v>
      </c>
      <c r="M61" s="57"/>
      <c r="N61" s="57"/>
      <c r="O61" s="30"/>
      <c r="P61" s="30"/>
      <c r="Q61" s="30"/>
      <c r="R61" s="30"/>
      <c r="S61" s="30"/>
      <c r="T61" s="30"/>
    </row>
    <row r="62" spans="1:234" x14ac:dyDescent="0.35">
      <c r="A62" s="55"/>
      <c r="B62" s="5"/>
      <c r="C62" s="5"/>
      <c r="D62" s="5"/>
      <c r="E62" s="56" t="s">
        <v>102</v>
      </c>
      <c r="F62" s="56" t="s">
        <v>102</v>
      </c>
      <c r="G62" s="56" t="s">
        <v>102</v>
      </c>
      <c r="H62" s="56" t="s">
        <v>102</v>
      </c>
      <c r="I62" s="56"/>
      <c r="J62" s="56" t="s">
        <v>102</v>
      </c>
      <c r="K62" s="56" t="s">
        <v>102</v>
      </c>
      <c r="L62" s="56" t="s">
        <v>102</v>
      </c>
      <c r="M62" s="57"/>
      <c r="N62" s="57"/>
      <c r="O62" s="30"/>
      <c r="P62" s="30"/>
      <c r="Q62" s="30"/>
      <c r="R62" s="30"/>
      <c r="S62" s="30"/>
      <c r="T62" s="30"/>
    </row>
    <row r="63" spans="1:234" x14ac:dyDescent="0.35">
      <c r="A63" s="55"/>
      <c r="B63" s="5"/>
      <c r="C63" s="5"/>
      <c r="D63" s="5"/>
      <c r="E63" s="56" t="s">
        <v>102</v>
      </c>
      <c r="F63" s="56" t="s">
        <v>102</v>
      </c>
      <c r="G63" s="56" t="s">
        <v>102</v>
      </c>
      <c r="H63" s="56" t="s">
        <v>102</v>
      </c>
      <c r="I63" s="56"/>
      <c r="J63" s="56" t="s">
        <v>102</v>
      </c>
      <c r="K63" s="56" t="s">
        <v>102</v>
      </c>
      <c r="L63" s="56" t="s">
        <v>102</v>
      </c>
      <c r="M63" s="57"/>
      <c r="N63" s="57"/>
      <c r="O63" s="30"/>
      <c r="P63" s="30"/>
      <c r="Q63" s="30"/>
      <c r="R63" s="30"/>
      <c r="S63" s="30"/>
      <c r="T63" s="30"/>
    </row>
    <row r="64" spans="1:234" x14ac:dyDescent="0.35">
      <c r="A64" s="55"/>
      <c r="B64" s="5"/>
      <c r="C64" s="5"/>
      <c r="D64" s="5"/>
      <c r="E64" s="56" t="s">
        <v>102</v>
      </c>
      <c r="F64" s="56" t="s">
        <v>102</v>
      </c>
      <c r="G64" s="56" t="s">
        <v>102</v>
      </c>
      <c r="H64" s="56" t="s">
        <v>102</v>
      </c>
      <c r="I64" s="56"/>
      <c r="J64" s="56" t="s">
        <v>102</v>
      </c>
      <c r="K64" s="56" t="s">
        <v>102</v>
      </c>
      <c r="L64" s="56" t="s">
        <v>102</v>
      </c>
      <c r="M64" s="57"/>
      <c r="N64" s="57"/>
      <c r="O64" s="30"/>
      <c r="P64" s="30"/>
      <c r="Q64" s="30"/>
      <c r="R64" s="30"/>
      <c r="S64" s="30"/>
      <c r="T64" s="30"/>
    </row>
    <row r="65" spans="1:20" x14ac:dyDescent="0.35">
      <c r="A65" s="55"/>
      <c r="B65" s="5"/>
      <c r="C65" s="5"/>
      <c r="D65" s="5"/>
      <c r="E65" s="56" t="s">
        <v>102</v>
      </c>
      <c r="F65" s="56" t="s">
        <v>102</v>
      </c>
      <c r="G65" s="56" t="s">
        <v>102</v>
      </c>
      <c r="H65" s="56" t="s">
        <v>102</v>
      </c>
      <c r="I65" s="56"/>
      <c r="J65" s="56" t="s">
        <v>102</v>
      </c>
      <c r="K65" s="56" t="s">
        <v>102</v>
      </c>
      <c r="L65" s="56" t="s">
        <v>102</v>
      </c>
      <c r="M65" s="57"/>
      <c r="N65" s="57"/>
      <c r="O65" s="30"/>
      <c r="P65" s="30"/>
      <c r="Q65" s="30"/>
      <c r="R65" s="30"/>
      <c r="S65" s="30"/>
      <c r="T65" s="30"/>
    </row>
    <row r="66" spans="1:20" x14ac:dyDescent="0.35">
      <c r="A66" s="55"/>
      <c r="B66" s="5"/>
      <c r="C66" s="5"/>
      <c r="D66" s="5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30"/>
      <c r="P66" s="30"/>
      <c r="Q66" s="30"/>
      <c r="R66" s="30"/>
      <c r="S66" s="30"/>
      <c r="T66" s="30"/>
    </row>
    <row r="67" spans="1:20" x14ac:dyDescent="0.35">
      <c r="A67" s="55"/>
      <c r="B67" s="5"/>
      <c r="C67" s="5"/>
      <c r="D67" s="5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30"/>
      <c r="P67" s="30"/>
      <c r="Q67" s="30"/>
      <c r="R67" s="30"/>
      <c r="S67" s="30"/>
      <c r="T67" s="30"/>
    </row>
    <row r="68" spans="1:20" x14ac:dyDescent="0.35">
      <c r="A68" s="55"/>
      <c r="B68" s="5"/>
      <c r="C68" s="5"/>
      <c r="D68" s="5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30"/>
      <c r="P68" s="30"/>
      <c r="Q68" s="30"/>
      <c r="R68" s="30"/>
      <c r="S68" s="30"/>
      <c r="T68" s="30"/>
    </row>
    <row r="69" spans="1:20" x14ac:dyDescent="0.35">
      <c r="A69" s="55"/>
      <c r="B69" s="5"/>
      <c r="C69" s="5"/>
      <c r="D69" s="5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30"/>
      <c r="P69" s="30"/>
      <c r="Q69" s="30"/>
      <c r="R69" s="30"/>
      <c r="S69" s="30"/>
      <c r="T69" s="30"/>
    </row>
    <row r="70" spans="1:20" x14ac:dyDescent="0.35">
      <c r="A70" s="55"/>
      <c r="B70" s="5"/>
      <c r="C70" s="5"/>
      <c r="D70" s="5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30"/>
      <c r="P70" s="30"/>
      <c r="Q70" s="30"/>
      <c r="R70" s="30"/>
      <c r="S70" s="30"/>
      <c r="T70" s="30"/>
    </row>
    <row r="71" spans="1:20" x14ac:dyDescent="0.35">
      <c r="A71" s="55"/>
      <c r="B71" s="5"/>
      <c r="C71" s="5"/>
      <c r="D71" s="5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30"/>
      <c r="P71" s="30"/>
      <c r="Q71" s="30"/>
      <c r="R71" s="30"/>
      <c r="S71" s="30"/>
      <c r="T71" s="30"/>
    </row>
    <row r="72" spans="1:20" x14ac:dyDescent="0.35">
      <c r="A72" s="55"/>
      <c r="B72" s="5"/>
      <c r="C72" s="5"/>
      <c r="D72" s="5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30"/>
      <c r="P72" s="30"/>
      <c r="Q72" s="30"/>
      <c r="R72" s="30"/>
      <c r="S72" s="30"/>
      <c r="T72" s="30"/>
    </row>
    <row r="73" spans="1:20" x14ac:dyDescent="0.35">
      <c r="A73" s="55"/>
      <c r="B73" s="5"/>
      <c r="C73" s="5"/>
      <c r="D73" s="5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30"/>
      <c r="P73" s="30"/>
      <c r="Q73" s="30"/>
      <c r="R73" s="30"/>
      <c r="S73" s="30"/>
      <c r="T73" s="30"/>
    </row>
    <row r="74" spans="1:20" x14ac:dyDescent="0.35">
      <c r="A74" s="55"/>
      <c r="B74" s="5"/>
      <c r="C74" s="5"/>
      <c r="D74" s="5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30"/>
      <c r="P74" s="30"/>
      <c r="Q74" s="30"/>
      <c r="R74" s="30"/>
      <c r="S74" s="30"/>
      <c r="T74" s="30"/>
    </row>
    <row r="75" spans="1:20" x14ac:dyDescent="0.35">
      <c r="A75" s="55"/>
      <c r="B75" s="5"/>
      <c r="C75" s="5"/>
      <c r="D75" s="5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30"/>
      <c r="P75" s="30"/>
      <c r="Q75" s="30"/>
      <c r="R75" s="30"/>
      <c r="S75" s="30"/>
      <c r="T75" s="30"/>
    </row>
    <row r="76" spans="1:20" x14ac:dyDescent="0.35">
      <c r="A76" s="55"/>
      <c r="B76" s="5"/>
      <c r="C76" s="5"/>
      <c r="D76" s="5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30"/>
      <c r="P76" s="30"/>
      <c r="Q76" s="30"/>
      <c r="R76" s="30"/>
      <c r="S76" s="30"/>
      <c r="T76" s="30"/>
    </row>
    <row r="77" spans="1:20" x14ac:dyDescent="0.35">
      <c r="A77" s="55"/>
      <c r="B77" s="5"/>
      <c r="C77" s="5"/>
      <c r="D77" s="5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30"/>
      <c r="P77" s="30"/>
      <c r="Q77" s="30"/>
      <c r="R77" s="30"/>
      <c r="S77" s="30"/>
      <c r="T77" s="30"/>
    </row>
    <row r="78" spans="1:20" x14ac:dyDescent="0.35">
      <c r="A78" s="55"/>
      <c r="B78" s="5"/>
      <c r="C78" s="5"/>
      <c r="D78" s="5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30"/>
      <c r="P78" s="30"/>
      <c r="Q78" s="30"/>
      <c r="R78" s="30"/>
      <c r="S78" s="30"/>
      <c r="T78" s="30"/>
    </row>
    <row r="79" spans="1:20" x14ac:dyDescent="0.35">
      <c r="A79" s="55"/>
      <c r="B79" s="5"/>
      <c r="C79" s="5"/>
      <c r="D79" s="5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30"/>
      <c r="P79" s="30"/>
      <c r="Q79" s="30"/>
      <c r="R79" s="30"/>
      <c r="S79" s="30"/>
      <c r="T79" s="30"/>
    </row>
    <row r="80" spans="1:20" x14ac:dyDescent="0.35">
      <c r="A80" s="55"/>
      <c r="B80" s="5"/>
      <c r="C80" s="5"/>
      <c r="D80" s="5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30"/>
      <c r="P80" s="30"/>
      <c r="Q80" s="30"/>
      <c r="R80" s="30"/>
      <c r="S80" s="30"/>
      <c r="T80" s="30"/>
    </row>
    <row r="81" spans="1:20" x14ac:dyDescent="0.35">
      <c r="A81" s="55"/>
      <c r="B81" s="5"/>
      <c r="C81" s="5"/>
      <c r="D81" s="5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30"/>
      <c r="P81" s="30"/>
      <c r="Q81" s="30"/>
      <c r="R81" s="30"/>
      <c r="S81" s="30"/>
      <c r="T81" s="30"/>
    </row>
    <row r="82" spans="1:20" x14ac:dyDescent="0.35">
      <c r="A82" s="55"/>
      <c r="B82" s="5"/>
      <c r="C82" s="5"/>
      <c r="D82" s="5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30"/>
      <c r="P82" s="30"/>
      <c r="Q82" s="30"/>
      <c r="R82" s="30"/>
      <c r="S82" s="30"/>
      <c r="T82" s="30"/>
    </row>
    <row r="83" spans="1:20" x14ac:dyDescent="0.35">
      <c r="A83" s="55"/>
      <c r="B83" s="5"/>
      <c r="C83" s="5"/>
      <c r="D83" s="5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30"/>
      <c r="P83" s="30"/>
      <c r="Q83" s="30"/>
      <c r="R83" s="30"/>
      <c r="S83" s="30"/>
      <c r="T83" s="30"/>
    </row>
    <row r="84" spans="1:20" x14ac:dyDescent="0.35">
      <c r="A84" s="55"/>
      <c r="B84" s="5"/>
      <c r="C84" s="5"/>
      <c r="D84" s="5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30"/>
      <c r="P84" s="30"/>
      <c r="Q84" s="30"/>
      <c r="R84" s="30"/>
      <c r="S84" s="30"/>
      <c r="T84" s="30"/>
    </row>
    <row r="85" spans="1:20" x14ac:dyDescent="0.35">
      <c r="A85" s="55"/>
      <c r="B85" s="5"/>
      <c r="C85" s="5"/>
      <c r="D85" s="5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30"/>
      <c r="P85" s="30"/>
      <c r="Q85" s="30"/>
      <c r="R85" s="30"/>
      <c r="S85" s="30"/>
      <c r="T85" s="30"/>
    </row>
    <row r="86" spans="1:20" x14ac:dyDescent="0.35">
      <c r="A86" s="55"/>
      <c r="B86" s="5"/>
      <c r="C86" s="5"/>
      <c r="D86" s="5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30"/>
      <c r="P86" s="30"/>
      <c r="Q86" s="30"/>
      <c r="R86" s="30"/>
      <c r="S86" s="30"/>
      <c r="T86" s="30"/>
    </row>
    <row r="87" spans="1:20" x14ac:dyDescent="0.35">
      <c r="A87" s="55"/>
      <c r="B87" s="5"/>
      <c r="C87" s="5"/>
      <c r="D87" s="5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30"/>
      <c r="P87" s="30"/>
      <c r="Q87" s="30"/>
      <c r="R87" s="30"/>
      <c r="S87" s="30"/>
      <c r="T87" s="30"/>
    </row>
    <row r="88" spans="1:20" x14ac:dyDescent="0.35">
      <c r="A88" s="55"/>
      <c r="B88" s="5"/>
      <c r="C88" s="5"/>
      <c r="D88" s="5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30"/>
      <c r="P88" s="30"/>
      <c r="Q88" s="30"/>
      <c r="R88" s="30"/>
      <c r="S88" s="30"/>
      <c r="T88" s="30"/>
    </row>
    <row r="89" spans="1:20" x14ac:dyDescent="0.35">
      <c r="A89" s="55"/>
      <c r="B89" s="5"/>
      <c r="C89" s="5"/>
      <c r="D89" s="5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30"/>
      <c r="P89" s="30"/>
      <c r="Q89" s="30"/>
      <c r="R89" s="30"/>
      <c r="S89" s="30"/>
      <c r="T89" s="30"/>
    </row>
    <row r="90" spans="1:20" x14ac:dyDescent="0.35">
      <c r="A90" s="55"/>
      <c r="B90" s="5"/>
      <c r="C90" s="5"/>
      <c r="D90" s="5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30"/>
      <c r="P90" s="30"/>
      <c r="Q90" s="30"/>
      <c r="R90" s="30"/>
      <c r="S90" s="30"/>
      <c r="T90" s="30"/>
    </row>
    <row r="91" spans="1:20" x14ac:dyDescent="0.35">
      <c r="A91" s="55"/>
      <c r="B91" s="5"/>
      <c r="C91" s="5"/>
      <c r="D91" s="5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30"/>
      <c r="P91" s="30"/>
      <c r="Q91" s="30"/>
      <c r="R91" s="30"/>
      <c r="S91" s="30"/>
      <c r="T91" s="30"/>
    </row>
    <row r="92" spans="1:20" x14ac:dyDescent="0.35">
      <c r="A92" s="55"/>
      <c r="B92" s="5"/>
      <c r="C92" s="5"/>
      <c r="D92" s="5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30"/>
      <c r="P92" s="30"/>
      <c r="Q92" s="30"/>
      <c r="R92" s="30"/>
      <c r="S92" s="30"/>
      <c r="T92" s="30"/>
    </row>
    <row r="93" spans="1:20" x14ac:dyDescent="0.35">
      <c r="A93" s="55"/>
      <c r="B93" s="5"/>
      <c r="C93" s="5"/>
      <c r="D93" s="5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30"/>
      <c r="P93" s="30"/>
      <c r="Q93" s="30"/>
      <c r="R93" s="30"/>
      <c r="S93" s="30"/>
      <c r="T93" s="30"/>
    </row>
    <row r="94" spans="1:20" x14ac:dyDescent="0.35">
      <c r="A94" s="55"/>
      <c r="B94" s="5"/>
      <c r="C94" s="5"/>
      <c r="D94" s="5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30"/>
      <c r="P94" s="30"/>
      <c r="Q94" s="30"/>
      <c r="R94" s="30"/>
      <c r="S94" s="30"/>
      <c r="T94" s="30"/>
    </row>
    <row r="95" spans="1:20" x14ac:dyDescent="0.35">
      <c r="A95" s="55"/>
      <c r="B95" s="5"/>
      <c r="C95" s="5"/>
      <c r="D95" s="5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30"/>
      <c r="P95" s="30"/>
      <c r="Q95" s="30"/>
      <c r="R95" s="30"/>
      <c r="S95" s="30"/>
      <c r="T95" s="30"/>
    </row>
    <row r="96" spans="1:20" x14ac:dyDescent="0.35">
      <c r="A96" s="55"/>
      <c r="B96" s="5"/>
      <c r="C96" s="5"/>
      <c r="D96" s="5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30"/>
      <c r="P96" s="30"/>
      <c r="Q96" s="30"/>
      <c r="R96" s="30"/>
      <c r="S96" s="30"/>
      <c r="T96" s="30"/>
    </row>
    <row r="97" spans="1:20" x14ac:dyDescent="0.35">
      <c r="A97" s="55"/>
      <c r="B97" s="5"/>
      <c r="C97" s="5"/>
      <c r="D97" s="5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30"/>
      <c r="P97" s="30"/>
      <c r="Q97" s="30"/>
      <c r="R97" s="30"/>
      <c r="S97" s="30"/>
      <c r="T97" s="30"/>
    </row>
    <row r="98" spans="1:20" x14ac:dyDescent="0.35">
      <c r="A98" s="55"/>
      <c r="B98" s="5"/>
      <c r="C98" s="5"/>
      <c r="D98" s="5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30"/>
      <c r="P98" s="30"/>
      <c r="Q98" s="30"/>
      <c r="R98" s="30"/>
      <c r="S98" s="30"/>
      <c r="T98" s="30"/>
    </row>
    <row r="99" spans="1:20" x14ac:dyDescent="0.35">
      <c r="A99" s="55"/>
      <c r="B99" s="5"/>
      <c r="C99" s="5"/>
      <c r="D99" s="5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30"/>
      <c r="P99" s="30"/>
      <c r="Q99" s="30"/>
      <c r="R99" s="30"/>
      <c r="S99" s="30"/>
      <c r="T99" s="30"/>
    </row>
    <row r="100" spans="1:20" x14ac:dyDescent="0.35">
      <c r="A100" s="55"/>
      <c r="B100" s="5"/>
      <c r="C100" s="5"/>
      <c r="D100" s="5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30"/>
      <c r="P100" s="30"/>
      <c r="Q100" s="30"/>
      <c r="R100" s="30"/>
      <c r="S100" s="30"/>
      <c r="T100" s="30"/>
    </row>
    <row r="101" spans="1:20" x14ac:dyDescent="0.35">
      <c r="A101" s="55"/>
      <c r="B101" s="5"/>
      <c r="C101" s="5"/>
      <c r="D101" s="5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30"/>
      <c r="P101" s="30"/>
      <c r="Q101" s="30"/>
      <c r="R101" s="30"/>
      <c r="S101" s="30"/>
      <c r="T101" s="30"/>
    </row>
    <row r="102" spans="1:20" x14ac:dyDescent="0.35">
      <c r="A102" s="55"/>
      <c r="B102" s="5"/>
      <c r="C102" s="5"/>
      <c r="D102" s="5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30"/>
      <c r="P102" s="30"/>
      <c r="Q102" s="30"/>
      <c r="R102" s="30"/>
      <c r="S102" s="30"/>
      <c r="T102" s="30"/>
    </row>
    <row r="103" spans="1:20" x14ac:dyDescent="0.35">
      <c r="A103" s="55"/>
      <c r="B103" s="5"/>
      <c r="C103" s="5"/>
      <c r="D103" s="5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30"/>
      <c r="P103" s="30"/>
      <c r="Q103" s="30"/>
      <c r="R103" s="30"/>
      <c r="S103" s="30"/>
      <c r="T103" s="30"/>
    </row>
    <row r="104" spans="1:20" x14ac:dyDescent="0.35">
      <c r="A104" s="55"/>
      <c r="B104" s="5"/>
      <c r="C104" s="5"/>
      <c r="D104" s="5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30"/>
      <c r="P104" s="30"/>
      <c r="Q104" s="30"/>
      <c r="R104" s="30"/>
      <c r="S104" s="30"/>
      <c r="T104" s="30"/>
    </row>
    <row r="105" spans="1:20" x14ac:dyDescent="0.35">
      <c r="A105" s="55"/>
      <c r="B105" s="5"/>
      <c r="C105" s="5"/>
      <c r="D105" s="5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30"/>
      <c r="P105" s="30"/>
      <c r="Q105" s="30"/>
      <c r="R105" s="30"/>
      <c r="S105" s="30"/>
      <c r="T105" s="30"/>
    </row>
    <row r="106" spans="1:20" x14ac:dyDescent="0.35">
      <c r="A106" s="55"/>
      <c r="B106" s="5"/>
      <c r="C106" s="5"/>
      <c r="D106" s="5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30"/>
      <c r="P106" s="30"/>
      <c r="Q106" s="30"/>
      <c r="R106" s="30"/>
      <c r="S106" s="30"/>
      <c r="T106" s="30"/>
    </row>
    <row r="107" spans="1:20" x14ac:dyDescent="0.35">
      <c r="A107" s="55"/>
      <c r="B107" s="5"/>
      <c r="C107" s="5"/>
      <c r="D107" s="5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30"/>
      <c r="P107" s="30"/>
      <c r="Q107" s="30"/>
      <c r="R107" s="30"/>
      <c r="S107" s="30"/>
      <c r="T107" s="30"/>
    </row>
    <row r="108" spans="1:20" x14ac:dyDescent="0.35">
      <c r="A108" s="55"/>
      <c r="B108" s="5"/>
      <c r="C108" s="5"/>
      <c r="D108" s="5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30"/>
      <c r="P108" s="30"/>
      <c r="Q108" s="30"/>
      <c r="R108" s="30"/>
      <c r="S108" s="30"/>
      <c r="T108" s="30"/>
    </row>
    <row r="109" spans="1:20" x14ac:dyDescent="0.35">
      <c r="A109" s="5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20" x14ac:dyDescent="0.35">
      <c r="A110" s="5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20" x14ac:dyDescent="0.35">
      <c r="A111" s="5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20" x14ac:dyDescent="0.35">
      <c r="A112" s="5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x14ac:dyDescent="0.35">
      <c r="A113" s="5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x14ac:dyDescent="0.35">
      <c r="A114" s="5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x14ac:dyDescent="0.35">
      <c r="A115" s="5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x14ac:dyDescent="0.35">
      <c r="A116" s="5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x14ac:dyDescent="0.35">
      <c r="A117" s="5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x14ac:dyDescent="0.35">
      <c r="A118" s="5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x14ac:dyDescent="0.35">
      <c r="A119" s="5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x14ac:dyDescent="0.35">
      <c r="A120" s="5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x14ac:dyDescent="0.35">
      <c r="A121" s="5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x14ac:dyDescent="0.35">
      <c r="A122" s="5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x14ac:dyDescent="0.35">
      <c r="A123" s="5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x14ac:dyDescent="0.35">
      <c r="A124" s="5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x14ac:dyDescent="0.35">
      <c r="A125" s="5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x14ac:dyDescent="0.35">
      <c r="A126" s="5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x14ac:dyDescent="0.35">
      <c r="A127" s="5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x14ac:dyDescent="0.35">
      <c r="A128" s="5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x14ac:dyDescent="0.35">
      <c r="A129" s="5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x14ac:dyDescent="0.35">
      <c r="A130" s="5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x14ac:dyDescent="0.35">
      <c r="A131" s="5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x14ac:dyDescent="0.35">
      <c r="A132" s="5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x14ac:dyDescent="0.35">
      <c r="A133" s="5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x14ac:dyDescent="0.35">
      <c r="A134" s="5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x14ac:dyDescent="0.35">
      <c r="A135" s="5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x14ac:dyDescent="0.35">
      <c r="A136" s="5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x14ac:dyDescent="0.35">
      <c r="A137" s="5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x14ac:dyDescent="0.35">
      <c r="A138" s="5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x14ac:dyDescent="0.35">
      <c r="A139" s="5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x14ac:dyDescent="0.35">
      <c r="A140" s="5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x14ac:dyDescent="0.35">
      <c r="A141" s="5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x14ac:dyDescent="0.35">
      <c r="A142" s="5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x14ac:dyDescent="0.35">
      <c r="A143" s="5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x14ac:dyDescent="0.35">
      <c r="A144" s="5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x14ac:dyDescent="0.35">
      <c r="A145" s="5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x14ac:dyDescent="0.35">
      <c r="A146" s="5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x14ac:dyDescent="0.35">
      <c r="A147" s="5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x14ac:dyDescent="0.35">
      <c r="A148" s="5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x14ac:dyDescent="0.35">
      <c r="A149" s="5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</sheetData>
  <phoneticPr fontId="44" type="noConversion"/>
  <printOptions horizontalCentered="1"/>
  <pageMargins left="0.25" right="0.25" top="0.5" bottom="0.5" header="0.3" footer="0.3"/>
  <pageSetup scale="46" orientation="landscape" r:id="rId1"/>
  <headerFooter>
    <oddFooter>&amp;RSchedule A-13
Page &amp;P of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pdfPage8">
                <anchor moveWithCells="1" sizeWithCells="1">
                  <from>
                    <xdr:col>0</xdr:col>
                    <xdr:colOff>19050</xdr:colOff>
                    <xdr:row>0</xdr:row>
                    <xdr:rowOff>12700</xdr:rowOff>
                  </from>
                  <to>
                    <xdr:col>0</xdr:col>
                    <xdr:colOff>31750</xdr:colOff>
                    <xdr:row>0</xdr:row>
                    <xdr:rowOff>19050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28</vt:i4>
      </vt:variant>
      <vt:variant>
        <vt:lpstr>Named Ranges</vt:lpstr>
      </vt:variant>
      <vt:variant>
        <vt:i4>30</vt:i4>
      </vt:variant>
    </vt:vector>
  </HeadingPairs>
  <TitlesOfParts>
    <vt:vector size="58" baseType="lpstr">
      <vt:lpstr>Page_1</vt:lpstr>
      <vt:lpstr>Page_2</vt:lpstr>
      <vt:lpstr>Page_3</vt:lpstr>
      <vt:lpstr>Page_4</vt:lpstr>
      <vt:lpstr>Page_5</vt:lpstr>
      <vt:lpstr>Page_6</vt:lpstr>
      <vt:lpstr>Page_7</vt:lpstr>
      <vt:lpstr>Page_8</vt:lpstr>
      <vt:lpstr>Page_9</vt:lpstr>
      <vt:lpstr>Page_10</vt:lpstr>
      <vt:lpstr>Page_11</vt:lpstr>
      <vt:lpstr>Page_12</vt:lpstr>
      <vt:lpstr>Page_13</vt:lpstr>
      <vt:lpstr>Page_14</vt:lpstr>
      <vt:lpstr>Page_15</vt:lpstr>
      <vt:lpstr>Page_16</vt:lpstr>
      <vt:lpstr>Page_17</vt:lpstr>
      <vt:lpstr>Page_18</vt:lpstr>
      <vt:lpstr>Page_19</vt:lpstr>
      <vt:lpstr>Page_20</vt:lpstr>
      <vt:lpstr>Page_21</vt:lpstr>
      <vt:lpstr>Page_22</vt:lpstr>
      <vt:lpstr>Page_23</vt:lpstr>
      <vt:lpstr>Page_24</vt:lpstr>
      <vt:lpstr>Page_25</vt:lpstr>
      <vt:lpstr>Page_26</vt:lpstr>
      <vt:lpstr>Page_27</vt:lpstr>
      <vt:lpstr>Page_28</vt:lpstr>
      <vt:lpstr>Page_1!Print_Area</vt:lpstr>
      <vt:lpstr>Page_10!Print_Area</vt:lpstr>
      <vt:lpstr>Page_11!Print_Area</vt:lpstr>
      <vt:lpstr>Page_12!Print_Area</vt:lpstr>
      <vt:lpstr>Page_13!Print_Area</vt:lpstr>
      <vt:lpstr>Page_14!Print_Area</vt:lpstr>
      <vt:lpstr>Page_15!Print_Area</vt:lpstr>
      <vt:lpstr>Page_16!Print_Area</vt:lpstr>
      <vt:lpstr>Page_17!Print_Area</vt:lpstr>
      <vt:lpstr>Page_18!Print_Area</vt:lpstr>
      <vt:lpstr>Page_19!Print_Area</vt:lpstr>
      <vt:lpstr>Page_2!Print_Area</vt:lpstr>
      <vt:lpstr>Page_20!Print_Area</vt:lpstr>
      <vt:lpstr>Page_21!Print_Area</vt:lpstr>
      <vt:lpstr>Page_22!Print_Area</vt:lpstr>
      <vt:lpstr>Page_23!Print_Area</vt:lpstr>
      <vt:lpstr>Page_24!Print_Area</vt:lpstr>
      <vt:lpstr>Page_25!Print_Area</vt:lpstr>
      <vt:lpstr>Page_26!Print_Area</vt:lpstr>
      <vt:lpstr>Page_27!Print_Area</vt:lpstr>
      <vt:lpstr>Page_28!Print_Area</vt:lpstr>
      <vt:lpstr>Page_3!Print_Area</vt:lpstr>
      <vt:lpstr>Page_4!Print_Area</vt:lpstr>
      <vt:lpstr>Page_5!Print_Area</vt:lpstr>
      <vt:lpstr>Page_6!Print_Area</vt:lpstr>
      <vt:lpstr>Page_7!Print_Area</vt:lpstr>
      <vt:lpstr>Page_8!Print_Area</vt:lpstr>
      <vt:lpstr>Page_9!Print_Area</vt:lpstr>
      <vt:lpstr>Page_19!Print_Area_MI</vt:lpstr>
      <vt:lpstr>Page_16!Print_Titles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Irrigation, 2023, Schedule A-13</dc:title>
  <dc:creator>Hawkins, Travis Aaron</dc:creator>
  <cp:lastModifiedBy>Savignano, Diana L</cp:lastModifiedBy>
  <cp:lastPrinted>2022-12-29T18:05:39Z</cp:lastPrinted>
  <dcterms:created xsi:type="dcterms:W3CDTF">2022-09-23T17:05:02Z</dcterms:created>
  <dcterms:modified xsi:type="dcterms:W3CDTF">2022-12-29T20:53:35Z</dcterms:modified>
</cp:coreProperties>
</file>