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vpwaterrates\ratebooks\irrigation\2023\"/>
    </mc:Choice>
  </mc:AlternateContent>
  <xr:revisionPtr revIDLastSave="0" documentId="13_ncr:1_{35BE9128-ED01-45E6-A6FF-9B1455576D04}" xr6:coauthVersionLast="47" xr6:coauthVersionMax="47" xr10:uidLastSave="{00000000-0000-0000-0000-000000000000}"/>
  <bookViews>
    <workbookView xWindow="-110" yWindow="-110" windowWidth="19420" windowHeight="10420" xr2:uid="{BCFF7552-456D-4092-9EE1-E5A3B7158268}"/>
  </bookViews>
  <sheets>
    <sheet name="OUTPUT" sheetId="1" r:id="rId1"/>
  </sheets>
  <externalReferences>
    <externalReference r:id="rId2"/>
  </externalReferences>
  <definedNames>
    <definedName name="_Order1" hidden="1">255</definedName>
    <definedName name="_Order2" hidden="1">255</definedName>
    <definedName name="OUTPUT">OUTPUT!$A$1</definedName>
    <definedName name="_xlnm.Print_Area" localSheetId="0">OUTPUT!$A$1:$C$258</definedName>
    <definedName name="_xlnm.Print_Titles" localSheetId="0">OUTPUT!$1:$6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5" i="1" l="1"/>
  <c r="C252" i="1"/>
  <c r="B252" i="1"/>
  <c r="C251" i="1"/>
  <c r="C250" i="1"/>
  <c r="C249" i="1"/>
  <c r="B249" i="1"/>
  <c r="C248" i="1"/>
  <c r="C247" i="1"/>
  <c r="B247" i="1"/>
  <c r="C246" i="1"/>
  <c r="C245" i="1"/>
  <c r="C244" i="1"/>
  <c r="C243" i="1"/>
  <c r="C242" i="1"/>
  <c r="C241" i="1"/>
  <c r="C240" i="1"/>
  <c r="B240" i="1"/>
  <c r="C239" i="1"/>
  <c r="C236" i="1"/>
  <c r="B236" i="1"/>
  <c r="C235" i="1"/>
  <c r="B235" i="1"/>
  <c r="C234" i="1"/>
  <c r="C237" i="1" s="1"/>
  <c r="B234" i="1"/>
  <c r="C231" i="1"/>
  <c r="B231" i="1"/>
  <c r="C230" i="1"/>
  <c r="B230" i="1"/>
  <c r="C227" i="1"/>
  <c r="B227" i="1"/>
  <c r="C226" i="1"/>
  <c r="B226" i="1"/>
  <c r="C223" i="1"/>
  <c r="C222" i="1"/>
  <c r="C221" i="1"/>
  <c r="C220" i="1"/>
  <c r="C219" i="1"/>
  <c r="B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B162" i="1"/>
  <c r="C161" i="1"/>
  <c r="C160" i="1"/>
  <c r="C159" i="1"/>
  <c r="C158" i="1"/>
  <c r="B158" i="1"/>
  <c r="C157" i="1"/>
  <c r="C156" i="1"/>
  <c r="C155" i="1"/>
  <c r="B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B140" i="1"/>
  <c r="C139" i="1"/>
  <c r="C138" i="1"/>
  <c r="C137" i="1"/>
  <c r="C136" i="1"/>
  <c r="C135" i="1"/>
  <c r="C134" i="1"/>
  <c r="C133" i="1"/>
  <c r="C132" i="1"/>
  <c r="C131" i="1"/>
  <c r="C130" i="1"/>
  <c r="B130" i="1"/>
  <c r="C129" i="1"/>
  <c r="C128" i="1"/>
  <c r="C127" i="1"/>
  <c r="C126" i="1"/>
  <c r="C125" i="1"/>
  <c r="C124" i="1"/>
  <c r="C121" i="1"/>
  <c r="C120" i="1"/>
  <c r="C119" i="1"/>
  <c r="C118" i="1"/>
  <c r="C117" i="1"/>
  <c r="C116" i="1"/>
  <c r="B116" i="1"/>
  <c r="B122" i="1" s="1"/>
  <c r="B114" i="1"/>
  <c r="C113" i="1"/>
  <c r="C112" i="1"/>
  <c r="C110" i="1"/>
  <c r="B109" i="1"/>
  <c r="B108" i="1"/>
  <c r="B106" i="1"/>
  <c r="C105" i="1"/>
  <c r="C104" i="1"/>
  <c r="C106" i="1" s="1"/>
  <c r="C102" i="1"/>
  <c r="C100" i="1"/>
  <c r="B99" i="1"/>
  <c r="B98" i="1"/>
  <c r="B97" i="1"/>
  <c r="B96" i="1"/>
  <c r="B95" i="1"/>
  <c r="B94" i="1"/>
  <c r="B93" i="1"/>
  <c r="B90" i="1"/>
  <c r="B89" i="1"/>
  <c r="B88" i="1"/>
  <c r="B87" i="1"/>
  <c r="B86" i="1"/>
  <c r="C83" i="1"/>
  <c r="C82" i="1"/>
  <c r="C81" i="1"/>
  <c r="B81" i="1"/>
  <c r="C80" i="1"/>
  <c r="B80" i="1"/>
  <c r="C79" i="1"/>
  <c r="C78" i="1"/>
  <c r="C77" i="1"/>
  <c r="B77" i="1"/>
  <c r="C76" i="1"/>
  <c r="B76" i="1"/>
  <c r="C75" i="1"/>
  <c r="B75" i="1"/>
  <c r="C74" i="1"/>
  <c r="C73" i="1"/>
  <c r="C72" i="1"/>
  <c r="B72" i="1"/>
  <c r="C71" i="1"/>
  <c r="C70" i="1"/>
  <c r="B70" i="1"/>
  <c r="C69" i="1"/>
  <c r="C68" i="1"/>
  <c r="B68" i="1"/>
  <c r="C67" i="1"/>
  <c r="C66" i="1"/>
  <c r="B66" i="1"/>
  <c r="C65" i="1"/>
  <c r="C64" i="1"/>
  <c r="C63" i="1"/>
  <c r="B63" i="1"/>
  <c r="C62" i="1"/>
  <c r="B62" i="1"/>
  <c r="B60" i="1"/>
  <c r="C57" i="1"/>
  <c r="C56" i="1"/>
  <c r="B56" i="1"/>
  <c r="C55" i="1"/>
  <c r="B55" i="1"/>
  <c r="C54" i="1"/>
  <c r="B54" i="1"/>
  <c r="C53" i="1"/>
  <c r="C52" i="1"/>
  <c r="B52" i="1"/>
  <c r="C51" i="1"/>
  <c r="C50" i="1"/>
  <c r="B50" i="1"/>
  <c r="C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C38" i="1"/>
  <c r="B38" i="1"/>
  <c r="C37" i="1"/>
  <c r="B37" i="1"/>
  <c r="C36" i="1"/>
  <c r="B36" i="1"/>
  <c r="C31" i="1"/>
  <c r="C30" i="1"/>
  <c r="C29" i="1"/>
  <c r="C28" i="1"/>
  <c r="B28" i="1"/>
  <c r="C27" i="1"/>
  <c r="C26" i="1"/>
  <c r="B26" i="1"/>
  <c r="C25" i="1"/>
  <c r="B25" i="1"/>
  <c r="C23" i="1"/>
  <c r="B23" i="1"/>
  <c r="B21" i="1"/>
  <c r="C20" i="1"/>
  <c r="C19" i="1"/>
  <c r="C18" i="1"/>
  <c r="C14" i="1"/>
  <c r="B14" i="1"/>
  <c r="C12" i="1"/>
  <c r="B10" i="1"/>
  <c r="C9" i="1"/>
  <c r="C8" i="1"/>
  <c r="A5" i="1"/>
  <c r="A4" i="1"/>
  <c r="A3" i="1"/>
  <c r="A2" i="1"/>
  <c r="A1" i="1"/>
  <c r="C114" i="1" l="1"/>
  <c r="C232" i="1"/>
  <c r="C48" i="1"/>
  <c r="C32" i="1"/>
  <c r="B32" i="1"/>
  <c r="C122" i="1"/>
  <c r="C224" i="1"/>
  <c r="B232" i="1"/>
  <c r="B48" i="1"/>
  <c r="C21" i="1"/>
  <c r="B100" i="1"/>
  <c r="B224" i="1"/>
  <c r="C253" i="1"/>
  <c r="B58" i="1"/>
  <c r="B110" i="1"/>
  <c r="B228" i="1"/>
  <c r="B237" i="1"/>
  <c r="B253" i="1"/>
  <c r="B84" i="1"/>
  <c r="C84" i="1"/>
  <c r="C10" i="1"/>
  <c r="C58" i="1"/>
  <c r="C228" i="1"/>
  <c r="B254" i="1" l="1"/>
  <c r="C254" i="1"/>
</calcChain>
</file>

<file path=xl/sharedStrings.xml><?xml version="1.0" encoding="utf-8"?>
<sst xmlns="http://schemas.openxmlformats.org/spreadsheetml/2006/main" count="253" uniqueCount="237">
  <si>
    <t>Black Butte</t>
  </si>
  <si>
    <t>4-E WD</t>
  </si>
  <si>
    <t>Stony Creek WD</t>
  </si>
  <si>
    <t>Total Black Butte</t>
  </si>
  <si>
    <t>Buchanan Unit</t>
  </si>
  <si>
    <t>Chowchilla WD - BU</t>
  </si>
  <si>
    <t>Clear Creek Unit</t>
  </si>
  <si>
    <t>Clear Creek CSD</t>
  </si>
  <si>
    <t>Colusa Basin Drain</t>
  </si>
  <si>
    <t>Colusa Drain MWC</t>
  </si>
  <si>
    <t>Corning Canal</t>
  </si>
  <si>
    <t>Corning WD</t>
  </si>
  <si>
    <t>Proberta WD</t>
  </si>
  <si>
    <t>Thomes Creek WD</t>
  </si>
  <si>
    <t>Total Corning Canal</t>
  </si>
  <si>
    <t>Cow Creek Unit</t>
  </si>
  <si>
    <t>Bella Vista WD</t>
  </si>
  <si>
    <t>Cross Valley Canal</t>
  </si>
  <si>
    <t>County of Fresno</t>
  </si>
  <si>
    <t>County of Tulare</t>
  </si>
  <si>
    <t>Hills Valley ID</t>
  </si>
  <si>
    <t>Kern-Tulare WD</t>
  </si>
  <si>
    <t>Lower Tule River ID - CVC</t>
  </si>
  <si>
    <t>Pixley ID</t>
  </si>
  <si>
    <t>Tri-Valley WD</t>
  </si>
  <si>
    <t>Total Cross Valley Canal</t>
  </si>
  <si>
    <t>Delta-Mendota Canal</t>
  </si>
  <si>
    <t>Banta-Carbona ID</t>
  </si>
  <si>
    <t>Byron Bethany ID</t>
  </si>
  <si>
    <t>Del Puerto WD</t>
  </si>
  <si>
    <t>Eagle Field WD</t>
  </si>
  <si>
    <t>Mercy Springs WD</t>
  </si>
  <si>
    <t>Oro Loma WD</t>
  </si>
  <si>
    <t>Pacheco WD - DMC</t>
  </si>
  <si>
    <t>Panoche WD - DMC</t>
  </si>
  <si>
    <t>Patterson WD</t>
  </si>
  <si>
    <t>San Luis WD - DMC</t>
  </si>
  <si>
    <t>West Side ID</t>
  </si>
  <si>
    <t>West Stanislaus ID</t>
  </si>
  <si>
    <t>Total Delta-Mendota Canal</t>
  </si>
  <si>
    <t>Delta-Mendota Pool</t>
  </si>
  <si>
    <t>Coelho Trust</t>
  </si>
  <si>
    <t>Fresno Slough WD</t>
  </si>
  <si>
    <t>James ID</t>
  </si>
  <si>
    <t>Laguna WD</t>
  </si>
  <si>
    <t>Recl Dist #1606</t>
  </si>
  <si>
    <t>Tranquillity ID</t>
  </si>
  <si>
    <t>Tranquillity PUD</t>
  </si>
  <si>
    <t>Westlands WD - DMP</t>
  </si>
  <si>
    <t>Total Delta-Mendota Pool</t>
  </si>
  <si>
    <t>Friant Dam - Class 2</t>
  </si>
  <si>
    <t>Gravelly Ford WD</t>
  </si>
  <si>
    <t>Friant-Kern Canal - Class 1</t>
  </si>
  <si>
    <t>Arvin-Edison WSD</t>
  </si>
  <si>
    <t>Delano-Earlimart ID</t>
  </si>
  <si>
    <t>Exeter ID</t>
  </si>
  <si>
    <t>Garfield WD</t>
  </si>
  <si>
    <t>International WD</t>
  </si>
  <si>
    <t>Ivanhoe ID</t>
  </si>
  <si>
    <t>Kaweah Delta WCD</t>
  </si>
  <si>
    <t>Lewis Creek WD</t>
  </si>
  <si>
    <t>Lindmore ID</t>
  </si>
  <si>
    <t>Lindsay-Strathmore ID</t>
  </si>
  <si>
    <t>Lower Tule River ID - FKC</t>
  </si>
  <si>
    <t>Orange Cove ID</t>
  </si>
  <si>
    <t>Porterville ID</t>
  </si>
  <si>
    <t>Saucelito ID</t>
  </si>
  <si>
    <t>Shafter-Wasco ID</t>
  </si>
  <si>
    <t>So San Joaquin MUD</t>
  </si>
  <si>
    <t>Stone Corral ID</t>
  </si>
  <si>
    <t>Tea Pot Dome WD</t>
  </si>
  <si>
    <t>Terra Bella ID</t>
  </si>
  <si>
    <t>Tri-Valley ID</t>
  </si>
  <si>
    <t>Tulare ID</t>
  </si>
  <si>
    <t>Total Friant Kern Canal - Class 1</t>
  </si>
  <si>
    <t>Friant-Kern Canal - Class 2</t>
  </si>
  <si>
    <t>Fresno ID</t>
  </si>
  <si>
    <t>Total Friant Kern Canal - Class 2</t>
  </si>
  <si>
    <t>Hidden Unit</t>
  </si>
  <si>
    <t>Madera ID - HU</t>
  </si>
  <si>
    <t>Madera Canal - Class 1</t>
  </si>
  <si>
    <t>Chowchilla WD - MC</t>
  </si>
  <si>
    <t>Madera ID - MC</t>
  </si>
  <si>
    <t>Total Madera Canal - Class 1</t>
  </si>
  <si>
    <t>Madera Canal - Class 2</t>
  </si>
  <si>
    <t>Total Madera Canal - Class 2</t>
  </si>
  <si>
    <t>New Melones D &amp; R</t>
  </si>
  <si>
    <t>Central San Joaquin WCD</t>
  </si>
  <si>
    <t>Stockton-East  WD</t>
  </si>
  <si>
    <t>Total New Melones D &amp; R</t>
  </si>
  <si>
    <t>Sacramento River - Shasta</t>
  </si>
  <si>
    <t>Anderson-Cottonwood ID</t>
  </si>
  <si>
    <t>Daniell, H &amp; B</t>
  </si>
  <si>
    <t>Driscoll Strawberry</t>
  </si>
  <si>
    <t>Gjermann, H</t>
  </si>
  <si>
    <t>Leviathan Inc</t>
  </si>
  <si>
    <t>Redding Rancheria</t>
  </si>
  <si>
    <t>Total Sacramento River - Shasta</t>
  </si>
  <si>
    <t>Sacramento River - Willows</t>
  </si>
  <si>
    <t>Anderson, A/et al</t>
  </si>
  <si>
    <t>Anderson, R &amp; J</t>
  </si>
  <si>
    <t>Andreotti, A/et al</t>
  </si>
  <si>
    <t>B &amp; D Family Partnership</t>
  </si>
  <si>
    <t>Baber, J/et al</t>
  </si>
  <si>
    <t>Butler, Diane</t>
  </si>
  <si>
    <t>Butte Creek Farms Inc</t>
  </si>
  <si>
    <t>Byrd, A &amp; Osborne, J.</t>
  </si>
  <si>
    <t>Cachil Dehe Band of Wintun</t>
  </si>
  <si>
    <t>Carter MWC</t>
  </si>
  <si>
    <t>Charter, Mary</t>
  </si>
  <si>
    <t>Churkin, M Jr &amp; C</t>
  </si>
  <si>
    <t>Conaway Consv Grp</t>
  </si>
  <si>
    <t>County of Sacramento</t>
  </si>
  <si>
    <t>Cummings, W</t>
  </si>
  <si>
    <t>Driver, Gary/et al</t>
  </si>
  <si>
    <t>Driver, J &amp; C Trustees</t>
  </si>
  <si>
    <t>Driver, Gregory</t>
  </si>
  <si>
    <t>Driver, W/et al</t>
  </si>
  <si>
    <t>Dyer, J &amp; Wing, J</t>
  </si>
  <si>
    <t>Eastside MWC</t>
  </si>
  <si>
    <t>Ehrke, A &amp; B</t>
  </si>
  <si>
    <t>Empire Group, LLC</t>
  </si>
  <si>
    <t>Feather WD</t>
  </si>
  <si>
    <t>Fedora, S/Taylor, W</t>
  </si>
  <si>
    <t>Four Corners Farmland</t>
  </si>
  <si>
    <t>Gillaspy, W</t>
  </si>
  <si>
    <t>Giusti, R &amp; S</t>
  </si>
  <si>
    <t>Glenn-Colusa ID</t>
  </si>
  <si>
    <t>Green Valley Corp</t>
  </si>
  <si>
    <t>Griffin, J/Prater</t>
  </si>
  <si>
    <t>Hale, J/Marks, A</t>
  </si>
  <si>
    <t>Hatfield, R &amp; B</t>
  </si>
  <si>
    <t>Heidrick &amp; McGinnis Properties</t>
  </si>
  <si>
    <t>Heidrick, M</t>
  </si>
  <si>
    <t>Howald Farms Inc</t>
  </si>
  <si>
    <t>Jaeger, W &amp; P</t>
  </si>
  <si>
    <t>Jansen, P &amp; S</t>
  </si>
  <si>
    <t>Kary, C</t>
  </si>
  <si>
    <t xml:space="preserve">King, Ben </t>
  </si>
  <si>
    <t>King, L</t>
  </si>
  <si>
    <t>KLSY, LLC</t>
  </si>
  <si>
    <t>Knights Landing Investors</t>
  </si>
  <si>
    <t xml:space="preserve">Knights Landing Properties </t>
  </si>
  <si>
    <t>L C Dennis Company</t>
  </si>
  <si>
    <t>Lauppe, Joan Johnson, &amp; Warren Lauppe</t>
  </si>
  <si>
    <t>Lauppe, B ET UX</t>
  </si>
  <si>
    <t>Lauppe, B &amp; K</t>
  </si>
  <si>
    <t>Leonard, James</t>
  </si>
  <si>
    <t>Lockett, W &amp; J</t>
  </si>
  <si>
    <t>Lomo CS &amp; Micheli, J</t>
  </si>
  <si>
    <t>Lonon, M</t>
  </si>
  <si>
    <t>M C M Properties</t>
  </si>
  <si>
    <t>Maxwell ID</t>
  </si>
  <si>
    <t xml:space="preserve">McClatchy Partners </t>
  </si>
  <si>
    <t>Meridian Farms WC</t>
  </si>
  <si>
    <t>Micke, D &amp; N</t>
  </si>
  <si>
    <t>Morehead, J/et ux</t>
  </si>
  <si>
    <t>Munson, J &amp; D</t>
  </si>
  <si>
    <t>Natomas Basin Conserv</t>
  </si>
  <si>
    <t>Natomas Central MWC</t>
  </si>
  <si>
    <t>Nelson, Henry E</t>
  </si>
  <si>
    <t>O'Brien, J &amp; F</t>
  </si>
  <si>
    <t xml:space="preserve">Odysseus Farms </t>
  </si>
  <si>
    <t>Oji Brothers Farm Inc</t>
  </si>
  <si>
    <t>Oji, M/et al</t>
  </si>
  <si>
    <t>Pacific Realty Inc</t>
  </si>
  <si>
    <t>Pelger MWC</t>
  </si>
  <si>
    <t>Pelger Road 1700, LLC</t>
  </si>
  <si>
    <t>Penner, R &amp; L</t>
  </si>
  <si>
    <t>Pleasant Grv-Vrna MWC</t>
  </si>
  <si>
    <t>Princeton-Codora-Glenn ID</t>
  </si>
  <si>
    <t>Provident ID</t>
  </si>
  <si>
    <t>Quad-H-Ranches Inc</t>
  </si>
  <si>
    <t>Recl Dist # 108</t>
  </si>
  <si>
    <t>Recl Dist #1000</t>
  </si>
  <si>
    <t>Recl Dist #1004</t>
  </si>
  <si>
    <t>Reische, E</t>
  </si>
  <si>
    <t>Reische, L</t>
  </si>
  <si>
    <t>Richter, H Jr/et al</t>
  </si>
  <si>
    <t>River Garden Farms Co</t>
  </si>
  <si>
    <t>Roberts Ditch Irr Co</t>
  </si>
  <si>
    <t>Rubio, E &amp; E</t>
  </si>
  <si>
    <t>Saeed, F</t>
  </si>
  <si>
    <t>Seaver, C</t>
  </si>
  <si>
    <t>Sutter MWC</t>
  </si>
  <si>
    <t>Swenson Farms</t>
  </si>
  <si>
    <t>Sycamore Mutual Water Company</t>
  </si>
  <si>
    <t>T &amp; P Farms</t>
  </si>
  <si>
    <t>Tarke, S</t>
  </si>
  <si>
    <t>Tisdale Irr &amp; Drain Co</t>
  </si>
  <si>
    <t>Van Ruiten Brothers 1415L</t>
  </si>
  <si>
    <t>Van Ruiten Brothers 520XL</t>
  </si>
  <si>
    <t>Van Ruiten Brothers 0880S</t>
  </si>
  <si>
    <t>Van Ruiten Brothers 880XR</t>
  </si>
  <si>
    <t>Wallace, J &amp; J</t>
  </si>
  <si>
    <t>Wallace, K Trust</t>
  </si>
  <si>
    <t>Wisler, J</t>
  </si>
  <si>
    <t>Yockey, W</t>
  </si>
  <si>
    <t>Young, R/et al</t>
  </si>
  <si>
    <t>Total Sacramento River - Willows</t>
  </si>
  <si>
    <t>San Felipe Unit</t>
  </si>
  <si>
    <t>San Benito County WD</t>
  </si>
  <si>
    <t>Santa Clara Valley WD</t>
  </si>
  <si>
    <t>Total San Felipe Unit</t>
  </si>
  <si>
    <t xml:space="preserve">Westlands WD--SLC  </t>
  </si>
  <si>
    <t>Westlands WD--SLC  (DD#2)</t>
  </si>
  <si>
    <t>Total San Luis Canal - Fresno</t>
  </si>
  <si>
    <t>Pacheco WD--SLC</t>
  </si>
  <si>
    <t>Panoche WD--SLC</t>
  </si>
  <si>
    <t>San Luis WD--SLC</t>
  </si>
  <si>
    <t>Total San Luis Canal - Tracy</t>
  </si>
  <si>
    <t>Tehama-Colusa Canal</t>
  </si>
  <si>
    <t>4-M WD</t>
  </si>
  <si>
    <t>Colusa County WD</t>
  </si>
  <si>
    <t>Cortina WD</t>
  </si>
  <si>
    <t>Davis WD--TCC</t>
  </si>
  <si>
    <t>Dunnigan WD</t>
  </si>
  <si>
    <t>Glenn Valley WD</t>
  </si>
  <si>
    <t>Glide WD</t>
  </si>
  <si>
    <t>Holthouse WD</t>
  </si>
  <si>
    <t>Kanawha WD</t>
  </si>
  <si>
    <t>Kirkwood WD</t>
  </si>
  <si>
    <t>La Grande WD</t>
  </si>
  <si>
    <t>Myers-Marsh MWC</t>
  </si>
  <si>
    <t>Orland-Artois WD</t>
  </si>
  <si>
    <t>Westside WD</t>
  </si>
  <si>
    <t>Total Tehama-Colusa Canal</t>
  </si>
  <si>
    <t xml:space="preserve">Total Permanent Contractors  </t>
  </si>
  <si>
    <t>Delta Mendota Exchange</t>
  </si>
  <si>
    <t>Footnotes:</t>
  </si>
  <si>
    <t>See Schedule A-13 Page 28 for name changes</t>
  </si>
  <si>
    <t>San Luis Canal - Fresno</t>
  </si>
  <si>
    <t>San Luis Canal - Tracy</t>
  </si>
  <si>
    <t>1/ For projected deliveries, see cost recovery section in Foreword.</t>
  </si>
  <si>
    <t>Contract Maximum (B)</t>
  </si>
  <si>
    <t>Total Chargeable Irrigation Water  1/
Facility / Contractor (A)</t>
  </si>
  <si>
    <t>2023 Projected O&amp;M Deliveries
&lt;Sch A-13&gt; 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</si>
</sst>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mm/dd/yy;@"/>
  </numFmts>
  <fonts count="12" x14ac:knownFonts="1">
    <font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4"/>
      <name val="Segoe UI"/>
      <family val="2"/>
    </font>
    <font>
      <b/>
      <sz val="14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b/>
      <u/>
      <sz val="12"/>
      <name val="Segoe UI"/>
      <family val="2"/>
    </font>
    <font>
      <sz val="12"/>
      <color indexed="8"/>
      <name val="Segoe UI"/>
      <family val="2"/>
    </font>
    <font>
      <b/>
      <sz val="12"/>
      <color indexed="8"/>
      <name val="Segoe U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37" fontId="2" fillId="0" borderId="0" xfId="0" applyNumberFormat="1" applyFont="1"/>
    <xf numFmtId="37" fontId="2" fillId="0" borderId="0" xfId="0" applyNumberFormat="1" applyFont="1" applyAlignment="1">
      <alignment horizontal="left"/>
    </xf>
    <xf numFmtId="37" fontId="2" fillId="0" borderId="0" xfId="0" applyNumberFormat="1" applyFont="1" applyAlignment="1">
      <alignment horizontal="center" vertical="top" wrapText="1"/>
    </xf>
    <xf numFmtId="37" fontId="1" fillId="0" borderId="0" xfId="0" applyNumberFormat="1" applyFont="1"/>
    <xf numFmtId="0" fontId="1" fillId="0" borderId="0" xfId="0" applyFont="1" applyAlignment="1">
      <alignment wrapText="1"/>
    </xf>
    <xf numFmtId="37" fontId="1" fillId="0" borderId="0" xfId="0" applyNumberFormat="1" applyFont="1" applyAlignment="1">
      <alignment wrapText="1"/>
    </xf>
    <xf numFmtId="3" fontId="1" fillId="0" borderId="0" xfId="0" applyNumberFormat="1" applyFont="1"/>
    <xf numFmtId="37" fontId="1" fillId="0" borderId="0" xfId="0" quotePrefix="1" applyNumberFormat="1" applyFont="1" applyAlignment="1">
      <alignment horizontal="right" wrapText="1"/>
    </xf>
    <xf numFmtId="0" fontId="1" fillId="0" borderId="0" xfId="0" quotePrefix="1" applyFont="1" applyAlignment="1">
      <alignment horizontal="right" wrapText="1"/>
    </xf>
    <xf numFmtId="0" fontId="1" fillId="0" borderId="0" xfId="0" applyFont="1"/>
    <xf numFmtId="0" fontId="1" fillId="0" borderId="0" xfId="0" applyFont="1" applyAlignment="1">
      <alignment horizontal="right" wrapText="1"/>
    </xf>
    <xf numFmtId="164" fontId="1" fillId="0" borderId="0" xfId="0" applyNumberFormat="1" applyFont="1" applyAlignment="1">
      <alignment wrapText="1"/>
    </xf>
    <xf numFmtId="37" fontId="4" fillId="0" borderId="0" xfId="0" applyNumberFormat="1" applyFont="1" applyAlignment="1">
      <alignment horizontal="center"/>
    </xf>
    <xf numFmtId="37" fontId="5" fillId="0" borderId="0" xfId="0" applyNumberFormat="1" applyFont="1" applyAlignment="1">
      <alignment wrapText="1"/>
    </xf>
    <xf numFmtId="37" fontId="5" fillId="0" borderId="0" xfId="0" applyNumberFormat="1" applyFont="1"/>
    <xf numFmtId="37" fontId="5" fillId="0" borderId="0" xfId="0" applyNumberFormat="1" applyFont="1" applyAlignment="1">
      <alignment horizontal="center"/>
    </xf>
    <xf numFmtId="37" fontId="5" fillId="0" borderId="0" xfId="0" applyNumberFormat="1" applyFont="1" applyAlignment="1">
      <alignment horizontal="centerContinuous"/>
    </xf>
    <xf numFmtId="37" fontId="7" fillId="0" borderId="0" xfId="0" applyNumberFormat="1" applyFont="1" applyAlignment="1">
      <alignment wrapText="1"/>
    </xf>
    <xf numFmtId="41" fontId="8" fillId="0" borderId="0" xfId="0" applyNumberFormat="1" applyFont="1"/>
    <xf numFmtId="0" fontId="8" fillId="0" borderId="0" xfId="0" applyFont="1" applyAlignment="1">
      <alignment wrapText="1"/>
    </xf>
    <xf numFmtId="41" fontId="8" fillId="0" borderId="1" xfId="0" applyNumberFormat="1" applyFont="1" applyBorder="1"/>
    <xf numFmtId="37" fontId="8" fillId="0" borderId="0" xfId="0" applyNumberFormat="1" applyFont="1" applyAlignment="1">
      <alignment wrapText="1"/>
    </xf>
    <xf numFmtId="41" fontId="8" fillId="0" borderId="2" xfId="0" applyNumberFormat="1" applyFont="1" applyBorder="1"/>
    <xf numFmtId="37" fontId="9" fillId="0" borderId="0" xfId="0" applyNumberFormat="1" applyFont="1" applyAlignment="1">
      <alignment wrapText="1"/>
    </xf>
    <xf numFmtId="37" fontId="8" fillId="0" borderId="0" xfId="0" applyNumberFormat="1" applyFont="1"/>
    <xf numFmtId="3" fontId="8" fillId="0" borderId="0" xfId="0" applyNumberFormat="1" applyFont="1"/>
    <xf numFmtId="41" fontId="8" fillId="0" borderId="3" xfId="0" applyNumberFormat="1" applyFont="1" applyBorder="1"/>
    <xf numFmtId="41" fontId="8" fillId="0" borderId="4" xfId="0" applyNumberFormat="1" applyFont="1" applyBorder="1"/>
    <xf numFmtId="0" fontId="10" fillId="0" borderId="0" xfId="0" applyFont="1" applyAlignment="1">
      <alignment wrapText="1"/>
    </xf>
    <xf numFmtId="41" fontId="8" fillId="0" borderId="0" xfId="1" applyNumberFormat="1" applyFont="1" applyFill="1" applyProtection="1"/>
    <xf numFmtId="37" fontId="8" fillId="0" borderId="1" xfId="0" applyNumberFormat="1" applyFont="1" applyBorder="1"/>
    <xf numFmtId="41" fontId="8" fillId="0" borderId="5" xfId="0" applyNumberFormat="1" applyFont="1" applyBorder="1"/>
    <xf numFmtId="37" fontId="7" fillId="0" borderId="0" xfId="0" quotePrefix="1" applyNumberFormat="1" applyFont="1" applyAlignment="1">
      <alignment wrapText="1"/>
    </xf>
    <xf numFmtId="41" fontId="8" fillId="0" borderId="6" xfId="0" applyNumberFormat="1" applyFont="1" applyBorder="1"/>
    <xf numFmtId="0" fontId="7" fillId="0" borderId="0" xfId="2" applyFont="1" applyAlignment="1">
      <alignment wrapText="1"/>
    </xf>
    <xf numFmtId="37" fontId="8" fillId="0" borderId="0" xfId="0" quotePrefix="1" applyNumberFormat="1" applyFont="1" applyAlignment="1">
      <alignment wrapText="1"/>
    </xf>
    <xf numFmtId="0" fontId="10" fillId="0" borderId="8" xfId="0" applyFont="1" applyBorder="1"/>
    <xf numFmtId="37" fontId="5" fillId="0" borderId="0" xfId="0" applyNumberFormat="1" applyFont="1" applyAlignment="1">
      <alignment horizontal="left"/>
    </xf>
    <xf numFmtId="37" fontId="5" fillId="0" borderId="0" xfId="0" applyNumberFormat="1" applyFont="1" applyAlignment="1">
      <alignment horizontal="left" wrapText="1"/>
    </xf>
    <xf numFmtId="37" fontId="2" fillId="0" borderId="0" xfId="0" applyNumberFormat="1" applyFont="1" applyAlignment="1">
      <alignment horizontal="left" wrapText="1"/>
    </xf>
    <xf numFmtId="0" fontId="6" fillId="0" borderId="9" xfId="0" applyNumberFormat="1" applyFont="1" applyBorder="1" applyAlignment="1">
      <alignment horizontal="left" wrapText="1"/>
    </xf>
    <xf numFmtId="0" fontId="6" fillId="0" borderId="7" xfId="0" quotePrefix="1" applyNumberFormat="1" applyFont="1" applyBorder="1" applyAlignment="1">
      <alignment horizontal="left" wrapText="1"/>
    </xf>
    <xf numFmtId="37" fontId="0" fillId="0" borderId="0" xfId="0" applyNumberFormat="1" applyFont="1"/>
    <xf numFmtId="37" fontId="10" fillId="0" borderId="7" xfId="0" applyNumberFormat="1" applyFont="1" applyBorder="1" applyAlignment="1">
      <alignment wrapText="1"/>
    </xf>
    <xf numFmtId="3" fontId="8" fillId="0" borderId="5" xfId="0" applyNumberFormat="1" applyFont="1" applyBorder="1"/>
    <xf numFmtId="37" fontId="11" fillId="0" borderId="5" xfId="0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D3170AEF-00BA-4D98-86E7-F43C701B4946}"/>
  </cellStyles>
  <dxfs count="7">
    <dxf>
      <font>
        <strike val="0"/>
        <outline val="0"/>
        <shadow val="0"/>
        <vertAlign val="baseline"/>
        <name val="Segoe UI"/>
        <family val="2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vertAlign val="baseline"/>
        <name val="Segoe UI"/>
        <family val="2"/>
        <scheme val="none"/>
      </font>
    </dxf>
    <dxf>
      <font>
        <strike val="0"/>
        <outline val="0"/>
        <shadow val="0"/>
        <vertAlign val="baseline"/>
        <name val="Segoe UI"/>
        <family val="2"/>
        <scheme val="none"/>
      </font>
    </dxf>
    <dxf>
      <font>
        <strike val="0"/>
        <outline val="0"/>
        <shadow val="0"/>
        <vertAlign val="baseline"/>
        <name val="Segoe UI"/>
        <family val="2"/>
        <scheme val="none"/>
      </font>
    </dxf>
    <dxf>
      <border outline="0">
        <top style="thin">
          <color indexed="64"/>
        </top>
      </border>
    </dxf>
    <dxf>
      <font>
        <strike val="0"/>
        <outline val="0"/>
        <shadow val="0"/>
        <vertAlign val="baseline"/>
        <name val="Segoe UI"/>
        <family val="2"/>
        <scheme val="none"/>
      </font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imspp-my.sharepoint.com/personal/thawkins_usbr_gov/Documents/Desktop/IRR%202023%20Sch%20A-12%20F.Z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Flow Chart"/>
      <sheetName val="Chart1"/>
      <sheetName val="MACRO INPUT"/>
      <sheetName val="MANUAL INPUT"/>
      <sheetName val="OUTPUT"/>
      <sheetName val="DO NOT PRINT Footnotes"/>
      <sheetName val="Chart2"/>
      <sheetName val="Input PUE"/>
    </sheetNames>
    <sheetDataSet>
      <sheetData sheetId="0">
        <row r="1">
          <cell r="A1" t="str">
            <v>IRR 2023 Sch A-12 F.Z25.xlsm</v>
          </cell>
        </row>
        <row r="2">
          <cell r="A2" t="str">
            <v>09/15/2022</v>
          </cell>
        </row>
        <row r="3">
          <cell r="A3" t="str">
            <v>CENTRAL VALLEY PROJECT</v>
          </cell>
        </row>
        <row r="4">
          <cell r="A4" t="str">
            <v>SCHEDULE OF PROJECTED 2023 IRRIGATION WATER DELIVERIES</v>
          </cell>
        </row>
        <row r="5">
          <cell r="A5" t="str">
            <v xml:space="preserve">FOR CALCULATION OF OPERATIONS AND MAINTENANCE RATES (DELIVERIES IN ACRE-FEET) </v>
          </cell>
        </row>
      </sheetData>
      <sheetData sheetId="1" refreshError="1"/>
      <sheetData sheetId="2" refreshError="1"/>
      <sheetData sheetId="3">
        <row r="17">
          <cell r="E17">
            <v>2.8571428571428572</v>
          </cell>
        </row>
        <row r="18">
          <cell r="E18">
            <v>153.85714285714286</v>
          </cell>
        </row>
        <row r="23">
          <cell r="E23">
            <v>24000</v>
          </cell>
        </row>
        <row r="27">
          <cell r="E27">
            <v>981.57142857142856</v>
          </cell>
        </row>
        <row r="35">
          <cell r="E35">
            <v>5132.1428571428569</v>
          </cell>
        </row>
        <row r="36">
          <cell r="E36">
            <v>201.42857142857142</v>
          </cell>
        </row>
        <row r="37">
          <cell r="E37">
            <v>89.714285714285708</v>
          </cell>
        </row>
        <row r="42">
          <cell r="E42">
            <v>2851.5714285714284</v>
          </cell>
        </row>
        <row r="46">
          <cell r="E46">
            <v>321.42857142857144</v>
          </cell>
        </row>
        <row r="47">
          <cell r="E47">
            <v>400.57142857142856</v>
          </cell>
        </row>
        <row r="48">
          <cell r="E48">
            <v>239</v>
          </cell>
        </row>
        <row r="49">
          <cell r="E49">
            <v>5498.1428571428569</v>
          </cell>
        </row>
        <row r="50">
          <cell r="E50">
            <v>3303.7142857142858</v>
          </cell>
        </row>
        <row r="51">
          <cell r="E51">
            <v>3332.2857142857142</v>
          </cell>
        </row>
        <row r="52">
          <cell r="E52">
            <v>124.42857142857143</v>
          </cell>
        </row>
        <row r="57">
          <cell r="E57">
            <v>6143</v>
          </cell>
        </row>
        <row r="58">
          <cell r="E58">
            <v>2980.2857142857142</v>
          </cell>
        </row>
        <row r="59">
          <cell r="E59">
            <v>36972.571428571428</v>
          </cell>
        </row>
        <row r="60">
          <cell r="E60">
            <v>1523.8571428571429</v>
          </cell>
        </row>
        <row r="61">
          <cell r="E61">
            <v>970.14285714285711</v>
          </cell>
        </row>
        <row r="62">
          <cell r="E62">
            <v>31.571428571428573</v>
          </cell>
        </row>
        <row r="63">
          <cell r="E63">
            <v>142.85714285714286</v>
          </cell>
        </row>
        <row r="64">
          <cell r="E64">
            <v>6851.5714285714284</v>
          </cell>
        </row>
        <row r="65">
          <cell r="E65">
            <v>5645.7142857142853</v>
          </cell>
        </row>
        <row r="66">
          <cell r="E66">
            <v>5594.5714285714284</v>
          </cell>
        </row>
        <row r="67">
          <cell r="E67">
            <v>297.42857142857144</v>
          </cell>
        </row>
        <row r="68">
          <cell r="E68">
            <v>10252.857142857143</v>
          </cell>
        </row>
        <row r="73">
          <cell r="E73">
            <v>642</v>
          </cell>
        </row>
        <row r="74">
          <cell r="E74">
            <v>1322.1428571428571</v>
          </cell>
        </row>
        <row r="75">
          <cell r="E75">
            <v>11862.714285714286</v>
          </cell>
        </row>
        <row r="76">
          <cell r="E76">
            <v>165.71428571428572</v>
          </cell>
        </row>
        <row r="77">
          <cell r="E77">
            <v>46.142857142857146</v>
          </cell>
        </row>
        <row r="78">
          <cell r="E78">
            <v>3386.8571428571427</v>
          </cell>
        </row>
        <row r="79">
          <cell r="E79">
            <v>10</v>
          </cell>
        </row>
        <row r="80">
          <cell r="E80">
            <v>3571.4285714285716</v>
          </cell>
        </row>
        <row r="89">
          <cell r="E89">
            <v>23284.285714285714</v>
          </cell>
        </row>
        <row r="90">
          <cell r="E90">
            <v>71332.571428571435</v>
          </cell>
        </row>
        <row r="91">
          <cell r="E91">
            <v>7031.2857142857147</v>
          </cell>
        </row>
        <row r="92">
          <cell r="E92">
            <v>1560.2857142857142</v>
          </cell>
        </row>
        <row r="93">
          <cell r="E93">
            <v>778.85714285714289</v>
          </cell>
        </row>
        <row r="94">
          <cell r="E94">
            <v>645.71428571428567</v>
          </cell>
        </row>
        <row r="95">
          <cell r="E95">
            <v>4089</v>
          </cell>
        </row>
        <row r="96">
          <cell r="E96">
            <v>622.28571428571433</v>
          </cell>
        </row>
        <row r="97">
          <cell r="E97">
            <v>617.71428571428567</v>
          </cell>
        </row>
        <row r="98">
          <cell r="E98">
            <v>20415</v>
          </cell>
        </row>
        <row r="99">
          <cell r="E99">
            <v>17050.571428571428</v>
          </cell>
        </row>
        <row r="100">
          <cell r="E100">
            <v>40123.714285714283</v>
          </cell>
        </row>
        <row r="101">
          <cell r="E101">
            <v>26313.857142857141</v>
          </cell>
        </row>
        <row r="102">
          <cell r="E102">
            <v>9671.8571428571431</v>
          </cell>
        </row>
        <row r="103">
          <cell r="E103">
            <v>12473.571428571429</v>
          </cell>
        </row>
        <row r="104">
          <cell r="E104">
            <v>31445</v>
          </cell>
        </row>
        <row r="105">
          <cell r="E105">
            <v>61718.57</v>
          </cell>
        </row>
        <row r="106">
          <cell r="E106">
            <v>6137.57</v>
          </cell>
        </row>
        <row r="107">
          <cell r="E107">
            <v>4502.8599999999997</v>
          </cell>
        </row>
        <row r="108">
          <cell r="E108">
            <v>16220.86</v>
          </cell>
        </row>
        <row r="109">
          <cell r="E109">
            <v>215.57142857142858</v>
          </cell>
        </row>
        <row r="110">
          <cell r="E110">
            <v>19728</v>
          </cell>
        </row>
        <row r="133">
          <cell r="E133">
            <v>24000</v>
          </cell>
        </row>
        <row r="137">
          <cell r="E137">
            <v>35840.142857142855</v>
          </cell>
        </row>
        <row r="138">
          <cell r="E138">
            <v>55867</v>
          </cell>
        </row>
        <row r="149">
          <cell r="E149">
            <v>15626</v>
          </cell>
        </row>
        <row r="150">
          <cell r="E150">
            <v>5603.4285714285716</v>
          </cell>
        </row>
        <row r="155">
          <cell r="E155">
            <v>2490.7142857142858</v>
          </cell>
        </row>
        <row r="156">
          <cell r="E156">
            <v>1</v>
          </cell>
        </row>
        <row r="157">
          <cell r="E157">
            <v>70</v>
          </cell>
        </row>
        <row r="158">
          <cell r="E158">
            <v>3.1428571428571428</v>
          </cell>
        </row>
        <row r="159">
          <cell r="E159">
            <v>254.28571428571428</v>
          </cell>
        </row>
        <row r="160">
          <cell r="E160">
            <v>19.285714285714285</v>
          </cell>
        </row>
        <row r="165">
          <cell r="E165">
            <v>6.4285714285714288</v>
          </cell>
        </row>
        <row r="166">
          <cell r="E166">
            <v>26</v>
          </cell>
        </row>
        <row r="167">
          <cell r="E167">
            <v>1037.2857142857142</v>
          </cell>
        </row>
        <row r="168">
          <cell r="E168">
            <v>22.285714285714285</v>
          </cell>
        </row>
        <row r="169">
          <cell r="E169">
            <v>2350.4285714285716</v>
          </cell>
        </row>
        <row r="170">
          <cell r="E170">
            <v>227.85714285714286</v>
          </cell>
        </row>
        <row r="171">
          <cell r="E171">
            <v>353.42857142857144</v>
          </cell>
        </row>
        <row r="172">
          <cell r="E172">
            <v>138.42857142857142</v>
          </cell>
        </row>
        <row r="173">
          <cell r="E173">
            <v>82.142857142857139</v>
          </cell>
        </row>
        <row r="174">
          <cell r="E174">
            <v>440.42857142857144</v>
          </cell>
        </row>
        <row r="175">
          <cell r="E175">
            <v>114.14285714285714</v>
          </cell>
        </row>
        <row r="176">
          <cell r="E176">
            <v>45.428571428571431</v>
          </cell>
        </row>
        <row r="177">
          <cell r="E177">
            <v>396.57142857142856</v>
          </cell>
        </row>
        <row r="178">
          <cell r="E178">
            <v>32.857142857142854</v>
          </cell>
        </row>
        <row r="179">
          <cell r="E179">
            <v>94.714285714285708</v>
          </cell>
        </row>
        <row r="180">
          <cell r="E180">
            <v>3.1428571428571428</v>
          </cell>
        </row>
        <row r="181">
          <cell r="E181">
            <v>49</v>
          </cell>
        </row>
        <row r="182">
          <cell r="E182">
            <v>2</v>
          </cell>
        </row>
        <row r="183">
          <cell r="E183">
            <v>15.142857142857142</v>
          </cell>
        </row>
        <row r="184">
          <cell r="E184">
            <v>192</v>
          </cell>
        </row>
        <row r="185">
          <cell r="E185">
            <v>430.71428571428572</v>
          </cell>
        </row>
        <row r="186">
          <cell r="E186">
            <v>119.14285714285714</v>
          </cell>
        </row>
        <row r="187">
          <cell r="E187">
            <v>2.2857142857142856</v>
          </cell>
        </row>
        <row r="188">
          <cell r="E188">
            <v>2676.4285714285716</v>
          </cell>
        </row>
        <row r="189">
          <cell r="E189">
            <v>2.8571428571428572</v>
          </cell>
        </row>
        <row r="190">
          <cell r="E190">
            <v>39.285714285714285</v>
          </cell>
        </row>
        <row r="191">
          <cell r="E191">
            <v>64.857142857142861</v>
          </cell>
        </row>
        <row r="192">
          <cell r="E192">
            <v>374.14285714285717</v>
          </cell>
        </row>
        <row r="193">
          <cell r="E193">
            <v>70036.571428571435</v>
          </cell>
        </row>
        <row r="194">
          <cell r="E194">
            <v>141.14285714285714</v>
          </cell>
        </row>
        <row r="195">
          <cell r="E195">
            <v>751.57142857142856</v>
          </cell>
        </row>
        <row r="196">
          <cell r="E196">
            <v>4.2857142857142856</v>
          </cell>
        </row>
        <row r="197">
          <cell r="E197">
            <v>13.428571428571429</v>
          </cell>
        </row>
        <row r="198">
          <cell r="E198">
            <v>28.571428571428573</v>
          </cell>
        </row>
        <row r="199">
          <cell r="E199">
            <v>39.714285714285715</v>
          </cell>
        </row>
        <row r="200">
          <cell r="E200">
            <v>941.42857142857144</v>
          </cell>
        </row>
        <row r="201">
          <cell r="E201">
            <v>69.285714285714292</v>
          </cell>
        </row>
        <row r="202">
          <cell r="E202">
            <v>37</v>
          </cell>
        </row>
        <row r="203">
          <cell r="E203">
            <v>85.714285714285708</v>
          </cell>
        </row>
        <row r="204">
          <cell r="E204">
            <v>1</v>
          </cell>
        </row>
        <row r="205">
          <cell r="E205">
            <v>1.8571428571428572</v>
          </cell>
        </row>
        <row r="206">
          <cell r="E206">
            <v>48.285714285714285</v>
          </cell>
        </row>
        <row r="207">
          <cell r="E207">
            <v>592.85714285714289</v>
          </cell>
        </row>
        <row r="208">
          <cell r="E208">
            <v>16.428571428571427</v>
          </cell>
        </row>
        <row r="209">
          <cell r="E209">
            <v>235.71428571428572</v>
          </cell>
        </row>
        <row r="210">
          <cell r="E210">
            <v>2</v>
          </cell>
        </row>
        <row r="211">
          <cell r="E211">
            <v>85.714285714285708</v>
          </cell>
        </row>
        <row r="212">
          <cell r="E212">
            <v>90</v>
          </cell>
        </row>
        <row r="213">
          <cell r="E213">
            <v>4.2857142857142856</v>
          </cell>
        </row>
        <row r="214">
          <cell r="E214">
            <v>44.857142857142854</v>
          </cell>
        </row>
        <row r="215">
          <cell r="E215">
            <v>375</v>
          </cell>
        </row>
        <row r="216">
          <cell r="E216">
            <v>411.14285714285717</v>
          </cell>
        </row>
        <row r="217">
          <cell r="E217">
            <v>452.71428571428572</v>
          </cell>
        </row>
        <row r="218">
          <cell r="E218">
            <v>4141</v>
          </cell>
        </row>
        <row r="219">
          <cell r="E219">
            <v>24.571428571428573</v>
          </cell>
        </row>
        <row r="220">
          <cell r="E220">
            <v>7483.1428571428569</v>
          </cell>
        </row>
        <row r="221">
          <cell r="E221">
            <v>2.7142857142857144</v>
          </cell>
        </row>
        <row r="222">
          <cell r="E222">
            <v>60</v>
          </cell>
        </row>
        <row r="223">
          <cell r="E223">
            <v>22.285714285714285</v>
          </cell>
        </row>
        <row r="224">
          <cell r="E224">
            <v>80.428571428571431</v>
          </cell>
        </row>
        <row r="225">
          <cell r="E225">
            <v>17340.285714285714</v>
          </cell>
        </row>
        <row r="226">
          <cell r="E226">
            <v>80.571428571428569</v>
          </cell>
        </row>
        <row r="227">
          <cell r="E227">
            <v>200.14285714285714</v>
          </cell>
        </row>
        <row r="228">
          <cell r="E228">
            <v>263.71428571428572</v>
          </cell>
        </row>
        <row r="229">
          <cell r="E229">
            <v>1297.1428571428571</v>
          </cell>
        </row>
        <row r="230">
          <cell r="E230">
            <v>785.42857142857144</v>
          </cell>
        </row>
        <row r="231">
          <cell r="E231">
            <v>918.57142857142856</v>
          </cell>
        </row>
        <row r="232">
          <cell r="E232">
            <v>1339.2857142857142</v>
          </cell>
        </row>
        <row r="233">
          <cell r="E233">
            <v>1485.4285714285713</v>
          </cell>
        </row>
        <row r="234">
          <cell r="E234">
            <v>3</v>
          </cell>
        </row>
        <row r="235">
          <cell r="E235">
            <v>1771.5714285714287</v>
          </cell>
        </row>
        <row r="236">
          <cell r="E236">
            <v>10367.285714285714</v>
          </cell>
        </row>
        <row r="237">
          <cell r="E237">
            <v>2989.7142857142858</v>
          </cell>
        </row>
        <row r="238">
          <cell r="E238">
            <v>174.57142857142858</v>
          </cell>
        </row>
        <row r="239">
          <cell r="E239">
            <v>22114.714285714286</v>
          </cell>
        </row>
        <row r="240">
          <cell r="E240">
            <v>17.571428571428573</v>
          </cell>
        </row>
        <row r="241">
          <cell r="E241">
            <v>8756.2857142857138</v>
          </cell>
        </row>
        <row r="242">
          <cell r="E242">
            <v>11.285714285714286</v>
          </cell>
        </row>
        <row r="243">
          <cell r="E243">
            <v>57.142857142857146</v>
          </cell>
        </row>
        <row r="244">
          <cell r="E244">
            <v>598.71428571428567</v>
          </cell>
        </row>
        <row r="245">
          <cell r="E245">
            <v>291.57142857142856</v>
          </cell>
        </row>
        <row r="246">
          <cell r="E246">
            <v>257.14285714285717</v>
          </cell>
        </row>
        <row r="247">
          <cell r="E247">
            <v>3</v>
          </cell>
        </row>
        <row r="248">
          <cell r="E248">
            <v>380.71428571428572</v>
          </cell>
        </row>
        <row r="249">
          <cell r="E249">
            <v>38.571428571428569</v>
          </cell>
        </row>
        <row r="250">
          <cell r="E250">
            <v>37659</v>
          </cell>
        </row>
        <row r="251">
          <cell r="E251">
            <v>324.14285714285717</v>
          </cell>
        </row>
        <row r="252">
          <cell r="E252">
            <v>7178.8571428571431</v>
          </cell>
        </row>
        <row r="253">
          <cell r="E253">
            <v>100.85714285714286</v>
          </cell>
        </row>
        <row r="254">
          <cell r="E254">
            <v>561.14285714285711</v>
          </cell>
        </row>
        <row r="255">
          <cell r="E255">
            <v>1617</v>
          </cell>
        </row>
        <row r="256">
          <cell r="E256">
            <v>119.28571428571429</v>
          </cell>
        </row>
        <row r="257">
          <cell r="E257">
            <v>104.85714285714286</v>
          </cell>
        </row>
        <row r="258">
          <cell r="E258">
            <v>293.42857142857144</v>
          </cell>
        </row>
        <row r="259">
          <cell r="E259">
            <v>156</v>
          </cell>
        </row>
        <row r="260">
          <cell r="E260">
            <v>10.142857142857142</v>
          </cell>
        </row>
        <row r="261">
          <cell r="E261">
            <v>156</v>
          </cell>
        </row>
        <row r="262">
          <cell r="E262">
            <v>3.8571428571428572</v>
          </cell>
        </row>
        <row r="263">
          <cell r="E263">
            <v>1.8571428571428572</v>
          </cell>
        </row>
        <row r="264">
          <cell r="E264">
            <v>3.7142857142857144</v>
          </cell>
        </row>
        <row r="269">
          <cell r="E269">
            <v>8814.1428571428569</v>
          </cell>
        </row>
        <row r="270">
          <cell r="E270">
            <v>12212.714285714286</v>
          </cell>
        </row>
        <row r="275">
          <cell r="E275">
            <v>399746</v>
          </cell>
        </row>
        <row r="276">
          <cell r="E276">
            <v>899.71428571428567</v>
          </cell>
        </row>
        <row r="281">
          <cell r="E281">
            <v>3198.1428571428573</v>
          </cell>
        </row>
        <row r="282">
          <cell r="E282">
            <v>18367.428571428572</v>
          </cell>
        </row>
        <row r="283">
          <cell r="E283">
            <v>29434.285714285714</v>
          </cell>
        </row>
        <row r="288">
          <cell r="E288">
            <v>1429.8571428571429</v>
          </cell>
        </row>
        <row r="289">
          <cell r="E289">
            <v>23661.857142857141</v>
          </cell>
        </row>
        <row r="290">
          <cell r="E290">
            <v>725.28571428571433</v>
          </cell>
        </row>
        <row r="291">
          <cell r="E291">
            <v>2722.5714285714284</v>
          </cell>
        </row>
        <row r="292">
          <cell r="E292">
            <v>6186.2857142857147</v>
          </cell>
        </row>
        <row r="293">
          <cell r="E293">
            <v>963.57142857142856</v>
          </cell>
        </row>
        <row r="294">
          <cell r="E294">
            <v>4689.1428571428569</v>
          </cell>
        </row>
        <row r="295">
          <cell r="E295">
            <v>251.85714285714286</v>
          </cell>
        </row>
        <row r="296">
          <cell r="E296">
            <v>19964.571428571428</v>
          </cell>
        </row>
        <row r="297">
          <cell r="E297">
            <v>300</v>
          </cell>
        </row>
        <row r="298">
          <cell r="E298">
            <v>2868</v>
          </cell>
        </row>
        <row r="299">
          <cell r="E299">
            <v>29.857142857142858</v>
          </cell>
        </row>
        <row r="300">
          <cell r="E300">
            <v>17550.714285714286</v>
          </cell>
        </row>
        <row r="301">
          <cell r="E301">
            <v>29097.857142857141</v>
          </cell>
        </row>
        <row r="305">
          <cell r="E305">
            <v>519504.30089314282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2663DF-E193-4955-9531-7360A18B7559}" name="Table1" displayName="Table1" ref="A6:C258" totalsRowShown="0" headerRowDxfId="0" dataDxfId="5" headerRowBorderDxfId="6" tableBorderDxfId="4">
  <tableColumns count="3">
    <tableColumn id="1" xr3:uid="{E8B73D0A-2683-4064-9ED0-FD206D1BE77F}" name="Total Chargeable Irrigation Water  1/_x000a_Facility / Contractor (A)" dataDxfId="3"/>
    <tableColumn id="2" xr3:uid="{1D8D288E-A870-4474-83B8-7BE9BB4F5649}" name="Contract Maximum (B)" dataDxfId="2"/>
    <tableColumn id="3" xr3:uid="{61CC427C-EFA4-4BB6-8901-D0BF49A316EA}" name="2023 Projected O&amp;M Deliveries_x000a_&lt;Sch A-13&gt; (C)" dataDxfId="1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95A24-35C7-4710-8388-46F1CC95CF2D}">
  <sheetPr transitionEvaluation="1" transitionEntry="1" codeName="Sheet5"/>
  <dimension ref="A1:H329"/>
  <sheetViews>
    <sheetView tabSelected="1" defaultGridColor="0" topLeftCell="A233" colorId="8" zoomScale="55" zoomScaleNormal="55" zoomScaleSheetLayoutView="87" workbookViewId="0">
      <selection activeCell="A254" sqref="A254:XFD258"/>
    </sheetView>
  </sheetViews>
  <sheetFormatPr defaultColWidth="9.765625" defaultRowHeight="15.5" x14ac:dyDescent="0.35"/>
  <cols>
    <col min="1" max="1" width="41.765625" style="6" customWidth="1"/>
    <col min="2" max="2" width="25.84375" style="4" customWidth="1"/>
    <col min="3" max="3" width="28.84375" style="7" customWidth="1"/>
    <col min="4" max="4" width="9.765625" style="4"/>
    <col min="5" max="5" width="3.765625" style="4" customWidth="1"/>
    <col min="6" max="6" width="2.765625" style="4" customWidth="1"/>
    <col min="7" max="8" width="9.765625" style="4"/>
    <col min="9" max="9" width="11.765625" style="4" customWidth="1"/>
    <col min="10" max="16384" width="9.765625" style="4"/>
  </cols>
  <sheetData>
    <row r="1" spans="1:3" s="1" customFormat="1" ht="17.25" customHeight="1" x14ac:dyDescent="0.55000000000000004">
      <c r="A1" s="14" t="str">
        <f>[1]INFORMATION!A1</f>
        <v>IRR 2023 Sch A-12 F.Z25.xlsm</v>
      </c>
      <c r="B1" s="15"/>
      <c r="C1" s="16"/>
    </row>
    <row r="2" spans="1:3" s="1" customFormat="1" ht="17.25" customHeight="1" x14ac:dyDescent="0.55000000000000004">
      <c r="A2" s="14" t="str">
        <f>[1]INFORMATION!A2</f>
        <v>09/15/2022</v>
      </c>
      <c r="B2" s="17"/>
      <c r="C2" s="17"/>
    </row>
    <row r="3" spans="1:3" s="2" customFormat="1" ht="21" x14ac:dyDescent="0.55000000000000004">
      <c r="A3" s="38" t="str">
        <f>[1]INFORMATION!A3</f>
        <v>CENTRAL VALLEY PROJECT</v>
      </c>
      <c r="B3" s="38"/>
      <c r="C3" s="38"/>
    </row>
    <row r="4" spans="1:3" s="40" customFormat="1" ht="42" x14ac:dyDescent="0.55000000000000004">
      <c r="A4" s="39" t="str">
        <f>[1]INFORMATION!A4</f>
        <v>SCHEDULE OF PROJECTED 2023 IRRIGATION WATER DELIVERIES</v>
      </c>
      <c r="B4" s="39"/>
      <c r="C4" s="39"/>
    </row>
    <row r="5" spans="1:3" s="40" customFormat="1" ht="63" x14ac:dyDescent="0.55000000000000004">
      <c r="A5" s="39" t="str">
        <f>[1]INFORMATION!A5</f>
        <v xml:space="preserve">FOR CALCULATION OF OPERATIONS AND MAINTENANCE RATES (DELIVERIES IN ACRE-FEET) </v>
      </c>
      <c r="B5" s="39"/>
      <c r="C5" s="39"/>
    </row>
    <row r="6" spans="1:3" s="3" customFormat="1" ht="75.75" customHeight="1" x14ac:dyDescent="0.55000000000000004">
      <c r="A6" s="41" t="s">
        <v>235</v>
      </c>
      <c r="B6" s="41" t="s">
        <v>234</v>
      </c>
      <c r="C6" s="42" t="s">
        <v>236</v>
      </c>
    </row>
    <row r="7" spans="1:3" ht="15" customHeight="1" x14ac:dyDescent="0.45">
      <c r="A7" s="18" t="s">
        <v>0</v>
      </c>
      <c r="B7" s="19"/>
      <c r="C7" s="19"/>
    </row>
    <row r="8" spans="1:3" ht="15" customHeight="1" x14ac:dyDescent="0.45">
      <c r="A8" s="20" t="s">
        <v>1</v>
      </c>
      <c r="B8" s="19">
        <v>20</v>
      </c>
      <c r="C8" s="19">
        <f>'[1]MACRO INPUT'!E17</f>
        <v>2.8571428571428572</v>
      </c>
    </row>
    <row r="9" spans="1:3" ht="15" customHeight="1" x14ac:dyDescent="0.45">
      <c r="A9" s="20" t="s">
        <v>2</v>
      </c>
      <c r="B9" s="21">
        <v>2920</v>
      </c>
      <c r="C9" s="19">
        <f>'[1]MACRO INPUT'!E18</f>
        <v>153.85714285714286</v>
      </c>
    </row>
    <row r="10" spans="1:3" ht="15" customHeight="1" x14ac:dyDescent="0.45">
      <c r="A10" s="22" t="s">
        <v>3</v>
      </c>
      <c r="B10" s="19">
        <f>SUM(B8:B9)</f>
        <v>2940</v>
      </c>
      <c r="C10" s="23">
        <f>SUM(C8:C9)</f>
        <v>156.71428571428572</v>
      </c>
    </row>
    <row r="11" spans="1:3" ht="15" customHeight="1" x14ac:dyDescent="0.45">
      <c r="A11" s="18" t="s">
        <v>4</v>
      </c>
      <c r="B11" s="19"/>
      <c r="C11" s="19"/>
    </row>
    <row r="12" spans="1:3" ht="15" customHeight="1" x14ac:dyDescent="0.45">
      <c r="A12" s="20" t="s">
        <v>5</v>
      </c>
      <c r="B12" s="19">
        <v>24000</v>
      </c>
      <c r="C12" s="19">
        <f>'[1]MACRO INPUT'!E23</f>
        <v>24000</v>
      </c>
    </row>
    <row r="13" spans="1:3" ht="15" customHeight="1" x14ac:dyDescent="0.45">
      <c r="A13" s="18" t="s">
        <v>6</v>
      </c>
      <c r="B13" s="19"/>
      <c r="C13" s="19"/>
    </row>
    <row r="14" spans="1:3" ht="15" customHeight="1" x14ac:dyDescent="0.45">
      <c r="A14" s="20" t="s">
        <v>7</v>
      </c>
      <c r="B14" s="19">
        <f>15300-10300+"Contract total less M&amp;I AF"</f>
        <v>5000</v>
      </c>
      <c r="C14" s="19">
        <f>'[1]MACRO INPUT'!E27</f>
        <v>981.57142857142856</v>
      </c>
    </row>
    <row r="15" spans="1:3" ht="15" customHeight="1" x14ac:dyDescent="0.45">
      <c r="A15" s="18" t="s">
        <v>8</v>
      </c>
      <c r="B15" s="19"/>
      <c r="C15" s="19"/>
    </row>
    <row r="16" spans="1:3" ht="15" customHeight="1" x14ac:dyDescent="0.45">
      <c r="A16" s="20" t="s">
        <v>9</v>
      </c>
      <c r="B16" s="19">
        <v>70000</v>
      </c>
      <c r="C16" s="19">
        <v>0</v>
      </c>
    </row>
    <row r="17" spans="1:3" ht="15" customHeight="1" x14ac:dyDescent="0.45">
      <c r="A17" s="18" t="s">
        <v>10</v>
      </c>
      <c r="B17" s="19"/>
      <c r="C17" s="19"/>
    </row>
    <row r="18" spans="1:3" ht="15" customHeight="1" x14ac:dyDescent="0.45">
      <c r="A18" s="20" t="s">
        <v>11</v>
      </c>
      <c r="B18" s="19">
        <v>23000</v>
      </c>
      <c r="C18" s="19">
        <f>'[1]MACRO INPUT'!E35</f>
        <v>5132.1428571428569</v>
      </c>
    </row>
    <row r="19" spans="1:3" ht="15" customHeight="1" x14ac:dyDescent="0.45">
      <c r="A19" s="20" t="s">
        <v>12</v>
      </c>
      <c r="B19" s="19">
        <v>3500</v>
      </c>
      <c r="C19" s="19">
        <f>'[1]MACRO INPUT'!E36</f>
        <v>201.42857142857142</v>
      </c>
    </row>
    <row r="20" spans="1:3" ht="15" customHeight="1" x14ac:dyDescent="0.45">
      <c r="A20" s="20" t="s">
        <v>13</v>
      </c>
      <c r="B20" s="21">
        <v>6400</v>
      </c>
      <c r="C20" s="19">
        <f>'[1]MACRO INPUT'!E37</f>
        <v>89.714285714285708</v>
      </c>
    </row>
    <row r="21" spans="1:3" ht="17.5" x14ac:dyDescent="0.45">
      <c r="A21" s="22" t="s">
        <v>14</v>
      </c>
      <c r="B21" s="19">
        <f>SUM(B18:B20)</f>
        <v>32900</v>
      </c>
      <c r="C21" s="23">
        <f>SUM(C18:C20)</f>
        <v>5423.2857142857138</v>
      </c>
    </row>
    <row r="22" spans="1:3" ht="15" customHeight="1" x14ac:dyDescent="0.45">
      <c r="A22" s="24" t="s">
        <v>15</v>
      </c>
      <c r="B22" s="19"/>
      <c r="C22" s="19"/>
    </row>
    <row r="23" spans="1:3" ht="15" customHeight="1" x14ac:dyDescent="0.45">
      <c r="A23" s="20" t="s">
        <v>16</v>
      </c>
      <c r="B23" s="19">
        <f>24000-7000+"Contract total less M&amp;I AF"</f>
        <v>17000</v>
      </c>
      <c r="C23" s="19">
        <f>'[1]MACRO INPUT'!E42</f>
        <v>2851.5714285714284</v>
      </c>
    </row>
    <row r="24" spans="1:3" ht="15" customHeight="1" x14ac:dyDescent="0.45">
      <c r="A24" s="24" t="s">
        <v>17</v>
      </c>
      <c r="B24" s="19"/>
      <c r="C24" s="19"/>
    </row>
    <row r="25" spans="1:3" ht="15" customHeight="1" x14ac:dyDescent="0.45">
      <c r="A25" s="20" t="s">
        <v>18</v>
      </c>
      <c r="B25" s="19">
        <f>3000-600+"Contract total less M&amp;I AF"</f>
        <v>2400</v>
      </c>
      <c r="C25" s="19">
        <f>'[1]MACRO INPUT'!E46</f>
        <v>321.42857142857144</v>
      </c>
    </row>
    <row r="26" spans="1:3" ht="15" customHeight="1" x14ac:dyDescent="0.45">
      <c r="A26" s="20" t="s">
        <v>19</v>
      </c>
      <c r="B26" s="19">
        <f>5308-1345+"Contract total less M&amp;I AF"</f>
        <v>3963</v>
      </c>
      <c r="C26" s="19">
        <f>'[1]MACRO INPUT'!E47</f>
        <v>400.57142857142856</v>
      </c>
    </row>
    <row r="27" spans="1:3" ht="15" customHeight="1" x14ac:dyDescent="0.45">
      <c r="A27" s="20" t="s">
        <v>20</v>
      </c>
      <c r="B27" s="19">
        <v>3346</v>
      </c>
      <c r="C27" s="19">
        <f>'[1]MACRO INPUT'!E48</f>
        <v>239</v>
      </c>
    </row>
    <row r="28" spans="1:3" ht="15" customHeight="1" x14ac:dyDescent="0.45">
      <c r="A28" s="20" t="s">
        <v>21</v>
      </c>
      <c r="B28" s="19">
        <f>40000+13300</f>
        <v>53300</v>
      </c>
      <c r="C28" s="19">
        <f>'[1]MACRO INPUT'!E49</f>
        <v>5498.1428571428569</v>
      </c>
    </row>
    <row r="29" spans="1:3" ht="15" customHeight="1" x14ac:dyDescent="0.45">
      <c r="A29" s="20" t="s">
        <v>22</v>
      </c>
      <c r="B29" s="19">
        <v>31102</v>
      </c>
      <c r="C29" s="19">
        <f>'[1]MACRO INPUT'!E50</f>
        <v>3303.7142857142858</v>
      </c>
    </row>
    <row r="30" spans="1:3" ht="15" customHeight="1" x14ac:dyDescent="0.45">
      <c r="A30" s="20" t="s">
        <v>23</v>
      </c>
      <c r="B30" s="19">
        <v>31102</v>
      </c>
      <c r="C30" s="19">
        <f>'[1]MACRO INPUT'!E51</f>
        <v>3332.2857142857142</v>
      </c>
    </row>
    <row r="31" spans="1:3" ht="15" customHeight="1" x14ac:dyDescent="0.45">
      <c r="A31" s="20" t="s">
        <v>24</v>
      </c>
      <c r="B31" s="21">
        <v>1142</v>
      </c>
      <c r="C31" s="19">
        <f>'[1]MACRO INPUT'!E52</f>
        <v>124.42857142857143</v>
      </c>
    </row>
    <row r="32" spans="1:3" ht="15" customHeight="1" x14ac:dyDescent="0.45">
      <c r="A32" s="22" t="s">
        <v>25</v>
      </c>
      <c r="B32" s="19">
        <f>SUM(B25:B31)</f>
        <v>126355</v>
      </c>
      <c r="C32" s="23">
        <f>SUM(C25:C31)</f>
        <v>13219.571428571428</v>
      </c>
    </row>
    <row r="33" spans="1:3" ht="15" hidden="1" customHeight="1" x14ac:dyDescent="0.45">
      <c r="A33" s="22"/>
      <c r="B33" s="19"/>
      <c r="C33" s="19"/>
    </row>
    <row r="34" spans="1:3" ht="19.5" hidden="1" customHeight="1" x14ac:dyDescent="0.45">
      <c r="A34" s="22"/>
      <c r="B34" s="19"/>
      <c r="C34" s="19"/>
    </row>
    <row r="35" spans="1:3" ht="15" customHeight="1" x14ac:dyDescent="0.45">
      <c r="A35" s="18" t="s">
        <v>26</v>
      </c>
      <c r="B35" s="25"/>
      <c r="C35" s="26"/>
    </row>
    <row r="36" spans="1:3" ht="15" customHeight="1" x14ac:dyDescent="0.45">
      <c r="A36" s="20" t="s">
        <v>27</v>
      </c>
      <c r="B36" s="19">
        <f>25000-5000</f>
        <v>20000</v>
      </c>
      <c r="C36" s="19">
        <f>'[1]MACRO INPUT'!E57</f>
        <v>6143</v>
      </c>
    </row>
    <row r="37" spans="1:3" ht="15" customHeight="1" x14ac:dyDescent="0.45">
      <c r="A37" s="20" t="s">
        <v>28</v>
      </c>
      <c r="B37" s="19">
        <f>20600-1040+"Contract total less M&amp;I AF"</f>
        <v>19560</v>
      </c>
      <c r="C37" s="19">
        <f>'[1]MACRO INPUT'!E58</f>
        <v>2980.2857142857142</v>
      </c>
    </row>
    <row r="38" spans="1:3" ht="15" customHeight="1" x14ac:dyDescent="0.45">
      <c r="A38" s="20" t="s">
        <v>29</v>
      </c>
      <c r="B38" s="19">
        <f>140210-20+"Contract total less M&amp;I AF"</f>
        <v>140190</v>
      </c>
      <c r="C38" s="19">
        <f>'[1]MACRO INPUT'!E59</f>
        <v>36972.571428571428</v>
      </c>
    </row>
    <row r="39" spans="1:3" ht="15" customHeight="1" x14ac:dyDescent="0.45">
      <c r="A39" s="20" t="s">
        <v>30</v>
      </c>
      <c r="B39" s="19">
        <v>4550</v>
      </c>
      <c r="C39" s="19">
        <f>'[1]MACRO INPUT'!E60</f>
        <v>1523.8571428571429</v>
      </c>
    </row>
    <row r="40" spans="1:3" ht="15" customHeight="1" x14ac:dyDescent="0.45">
      <c r="A40" s="20" t="s">
        <v>31</v>
      </c>
      <c r="B40" s="19">
        <f>13300-6260+"5/14/99 Mercy Springs Assignment to Santa Clara Valley &amp; WWD"-4198+"4/11/2003 Mercy Springs Assignment to WWD"</f>
        <v>2842</v>
      </c>
      <c r="C40" s="19">
        <f>'[1]MACRO INPUT'!E61</f>
        <v>970.14285714285711</v>
      </c>
    </row>
    <row r="41" spans="1:3" ht="15" customHeight="1" x14ac:dyDescent="0.45">
      <c r="A41" s="20" t="s">
        <v>32</v>
      </c>
      <c r="B41" s="19">
        <f>4600-4000</f>
        <v>600</v>
      </c>
      <c r="C41" s="19">
        <f>'[1]MACRO INPUT'!E62</f>
        <v>31.571428571428573</v>
      </c>
    </row>
    <row r="42" spans="1:3" ht="15" customHeight="1" x14ac:dyDescent="0.45">
      <c r="A42" s="20" t="s">
        <v>33</v>
      </c>
      <c r="B42" s="19">
        <f>10080+"Contract total"-9000+"SLC A/F"-80+"M&amp;I A/F"</f>
        <v>1000</v>
      </c>
      <c r="C42" s="19">
        <f>'[1]MACRO INPUT'!E63</f>
        <v>142.85714285714286</v>
      </c>
    </row>
    <row r="43" spans="1:3" ht="15" customHeight="1" x14ac:dyDescent="0.45">
      <c r="A43" s="20" t="s">
        <v>34</v>
      </c>
      <c r="B43" s="19">
        <f>94000+"Contract A/F"-67000+"SLC A/F"-42+"M&amp;I A/F"</f>
        <v>26958</v>
      </c>
      <c r="C43" s="19">
        <f>'[1]MACRO INPUT'!E64</f>
        <v>6851.5714285714284</v>
      </c>
    </row>
    <row r="44" spans="1:3" ht="15" customHeight="1" x14ac:dyDescent="0.45">
      <c r="A44" s="20" t="s">
        <v>35</v>
      </c>
      <c r="B44" s="19">
        <f>16500+"Contract max annual paid project water A/F"</f>
        <v>16500</v>
      </c>
      <c r="C44" s="19">
        <f>'[1]MACRO INPUT'!E65</f>
        <v>5645.7142857142853</v>
      </c>
    </row>
    <row r="45" spans="1:3" ht="15" customHeight="1" x14ac:dyDescent="0.45">
      <c r="A45" s="20" t="s">
        <v>36</v>
      </c>
      <c r="B45" s="19">
        <f>125080+"Contract A/F"-100280+"SLC A/F"-800+"180 AF M&amp;I DMC + 620 AF M&amp;I SLC"</f>
        <v>24000</v>
      </c>
      <c r="C45" s="19">
        <f>'[1]MACRO INPUT'!E66</f>
        <v>5594.5714285714284</v>
      </c>
    </row>
    <row r="46" spans="1:3" ht="15" customHeight="1" x14ac:dyDescent="0.45">
      <c r="A46" s="20" t="s">
        <v>37</v>
      </c>
      <c r="B46" s="19">
        <f>7500-2500-2500</f>
        <v>2500</v>
      </c>
      <c r="C46" s="19">
        <f>'[1]MACRO INPUT'!E67</f>
        <v>297.42857142857144</v>
      </c>
    </row>
    <row r="47" spans="1:3" ht="15" customHeight="1" x14ac:dyDescent="0.45">
      <c r="A47" s="20" t="s">
        <v>38</v>
      </c>
      <c r="B47" s="19">
        <v>50000</v>
      </c>
      <c r="C47" s="19">
        <f>'[1]MACRO INPUT'!E68</f>
        <v>10252.857142857143</v>
      </c>
    </row>
    <row r="48" spans="1:3" ht="15" customHeight="1" x14ac:dyDescent="0.45">
      <c r="A48" s="22" t="s">
        <v>39</v>
      </c>
      <c r="B48" s="27">
        <f>SUM(B36:B47)</f>
        <v>308700</v>
      </c>
      <c r="C48" s="27">
        <f>SUM(C36:C47)</f>
        <v>77406.428571428565</v>
      </c>
    </row>
    <row r="49" spans="1:3" ht="15" customHeight="1" x14ac:dyDescent="0.45">
      <c r="A49" s="18" t="s">
        <v>40</v>
      </c>
      <c r="B49" s="19"/>
      <c r="C49" s="19"/>
    </row>
    <row r="50" spans="1:3" ht="15" customHeight="1" x14ac:dyDescent="0.45">
      <c r="A50" s="20" t="s">
        <v>41</v>
      </c>
      <c r="B50" s="19">
        <f>2080+"Contract Max annual paid project water A/F"</f>
        <v>2080</v>
      </c>
      <c r="C50" s="19">
        <f>'[1]MACRO INPUT'!E73</f>
        <v>642</v>
      </c>
    </row>
    <row r="51" spans="1:3" ht="15" customHeight="1" x14ac:dyDescent="0.45">
      <c r="A51" s="20" t="s">
        <v>42</v>
      </c>
      <c r="B51" s="19">
        <v>4000</v>
      </c>
      <c r="C51" s="19">
        <f>'[1]MACRO INPUT'!E74</f>
        <v>1322.1428571428571</v>
      </c>
    </row>
    <row r="52" spans="1:3" ht="15" customHeight="1" x14ac:dyDescent="0.45">
      <c r="A52" s="20" t="s">
        <v>43</v>
      </c>
      <c r="B52" s="19">
        <f>35300+"Contract max annual paid project water A/F"</f>
        <v>35300</v>
      </c>
      <c r="C52" s="19">
        <f>'[1]MACRO INPUT'!E75</f>
        <v>11862.714285714286</v>
      </c>
    </row>
    <row r="53" spans="1:3" ht="15" customHeight="1" x14ac:dyDescent="0.45">
      <c r="A53" s="20" t="s">
        <v>44</v>
      </c>
      <c r="B53" s="19">
        <v>800</v>
      </c>
      <c r="C53" s="19">
        <f>'[1]MACRO INPUT'!E76</f>
        <v>165.71428571428572</v>
      </c>
    </row>
    <row r="54" spans="1:3" ht="15" customHeight="1" x14ac:dyDescent="0.45">
      <c r="A54" s="20" t="s">
        <v>45</v>
      </c>
      <c r="B54" s="19">
        <f>228+"Contract Max annual paid project water A/F"</f>
        <v>228</v>
      </c>
      <c r="C54" s="19">
        <f>'[1]MACRO INPUT'!E77</f>
        <v>46.142857142857146</v>
      </c>
    </row>
    <row r="55" spans="1:3" ht="15" customHeight="1" x14ac:dyDescent="0.45">
      <c r="A55" s="20" t="s">
        <v>46</v>
      </c>
      <c r="B55" s="19">
        <f>13800+"Contract max annual paid project water A/F"</f>
        <v>13800</v>
      </c>
      <c r="C55" s="19">
        <f>'[1]MACRO INPUT'!E78</f>
        <v>3386.8571428571427</v>
      </c>
    </row>
    <row r="56" spans="1:3" ht="15" customHeight="1" x14ac:dyDescent="0.45">
      <c r="A56" s="20" t="s">
        <v>47</v>
      </c>
      <c r="B56" s="19">
        <f>70+"Contract max annual paid project water A/F"</f>
        <v>70</v>
      </c>
      <c r="C56" s="19">
        <f>'[1]MACRO INPUT'!E79</f>
        <v>10</v>
      </c>
    </row>
    <row r="57" spans="1:3" ht="15" customHeight="1" x14ac:dyDescent="0.45">
      <c r="A57" s="20" t="s">
        <v>48</v>
      </c>
      <c r="B57" s="21">
        <v>25000</v>
      </c>
      <c r="C57" s="19">
        <f>'[1]MACRO INPUT'!E80</f>
        <v>3571.4285714285716</v>
      </c>
    </row>
    <row r="58" spans="1:3" ht="15" customHeight="1" x14ac:dyDescent="0.45">
      <c r="A58" s="22" t="s">
        <v>49</v>
      </c>
      <c r="B58" s="19">
        <f>SUM(B50:B57)</f>
        <v>81278</v>
      </c>
      <c r="C58" s="28">
        <f>SUM(C50:C57)</f>
        <v>21007</v>
      </c>
    </row>
    <row r="59" spans="1:3" ht="15" customHeight="1" x14ac:dyDescent="0.45">
      <c r="A59" s="18" t="s">
        <v>50</v>
      </c>
      <c r="B59" s="19"/>
      <c r="C59" s="19"/>
    </row>
    <row r="60" spans="1:3" ht="15" customHeight="1" x14ac:dyDescent="0.45">
      <c r="A60" s="20" t="s">
        <v>51</v>
      </c>
      <c r="B60" s="19">
        <f>14000</f>
        <v>14000</v>
      </c>
      <c r="C60" s="19">
        <v>0</v>
      </c>
    </row>
    <row r="61" spans="1:3" ht="15" customHeight="1" x14ac:dyDescent="0.45">
      <c r="A61" s="18" t="s">
        <v>52</v>
      </c>
      <c r="B61" s="25"/>
      <c r="C61" s="26"/>
    </row>
    <row r="62" spans="1:3" ht="15" customHeight="1" x14ac:dyDescent="0.45">
      <c r="A62" s="22" t="s">
        <v>53</v>
      </c>
      <c r="B62" s="19">
        <f>40000-1076+"Contract total less M&amp;I AF"</f>
        <v>38924</v>
      </c>
      <c r="C62" s="19">
        <f>'[1]MACRO INPUT'!E89</f>
        <v>23284.285714285714</v>
      </c>
    </row>
    <row r="63" spans="1:3" ht="15" customHeight="1" x14ac:dyDescent="0.45">
      <c r="A63" s="22" t="s">
        <v>54</v>
      </c>
      <c r="B63" s="19">
        <f>108800-300+"Contract total less M&amp;I AF"</f>
        <v>108500</v>
      </c>
      <c r="C63" s="19">
        <f>'[1]MACRO INPUT'!E90</f>
        <v>71332.571428571435</v>
      </c>
    </row>
    <row r="64" spans="1:3" ht="15" customHeight="1" x14ac:dyDescent="0.45">
      <c r="A64" s="22" t="s">
        <v>55</v>
      </c>
      <c r="B64" s="19">
        <v>11100</v>
      </c>
      <c r="C64" s="19">
        <f>'[1]MACRO INPUT'!E91</f>
        <v>7031.2857142857147</v>
      </c>
    </row>
    <row r="65" spans="1:3" ht="15" customHeight="1" x14ac:dyDescent="0.45">
      <c r="A65" s="22" t="s">
        <v>56</v>
      </c>
      <c r="B65" s="19">
        <v>3500</v>
      </c>
      <c r="C65" s="19">
        <f>'[1]MACRO INPUT'!E92</f>
        <v>1560.2857142857142</v>
      </c>
    </row>
    <row r="66" spans="1:3" ht="15" customHeight="1" x14ac:dyDescent="0.45">
      <c r="A66" s="22" t="s">
        <v>20</v>
      </c>
      <c r="B66" s="19">
        <f>1000+250</f>
        <v>1250</v>
      </c>
      <c r="C66" s="19">
        <f>'[1]MACRO INPUT'!E93</f>
        <v>778.85714285714289</v>
      </c>
    </row>
    <row r="67" spans="1:3" ht="15" customHeight="1" x14ac:dyDescent="0.45">
      <c r="A67" s="22" t="s">
        <v>57</v>
      </c>
      <c r="B67" s="19">
        <v>1200</v>
      </c>
      <c r="C67" s="19">
        <f>'[1]MACRO INPUT'!E94</f>
        <v>645.71428571428567</v>
      </c>
    </row>
    <row r="68" spans="1:3" ht="17.5" x14ac:dyDescent="0.45">
      <c r="A68" s="22" t="s">
        <v>58</v>
      </c>
      <c r="B68" s="19">
        <f>7700-1200</f>
        <v>6500</v>
      </c>
      <c r="C68" s="19">
        <f>'[1]MACRO INPUT'!E95</f>
        <v>4089</v>
      </c>
    </row>
    <row r="69" spans="1:3" ht="15" customHeight="1" x14ac:dyDescent="0.45">
      <c r="A69" s="22" t="s">
        <v>59</v>
      </c>
      <c r="B69" s="19">
        <v>1200</v>
      </c>
      <c r="C69" s="19">
        <f>'[1]MACRO INPUT'!E96</f>
        <v>622.28571428571433</v>
      </c>
    </row>
    <row r="70" spans="1:3" ht="15" customHeight="1" x14ac:dyDescent="0.45">
      <c r="A70" s="22" t="s">
        <v>60</v>
      </c>
      <c r="B70" s="19">
        <f>1450-250</f>
        <v>1200</v>
      </c>
      <c r="C70" s="19">
        <f>'[1]MACRO INPUT'!E97</f>
        <v>617.71428571428567</v>
      </c>
    </row>
    <row r="71" spans="1:3" ht="15" customHeight="1" x14ac:dyDescent="0.45">
      <c r="A71" s="22" t="s">
        <v>61</v>
      </c>
      <c r="B71" s="19">
        <v>33000</v>
      </c>
      <c r="C71" s="19">
        <f>'[1]MACRO INPUT'!E98</f>
        <v>20415</v>
      </c>
    </row>
    <row r="72" spans="1:3" ht="15" customHeight="1" x14ac:dyDescent="0.45">
      <c r="A72" s="22" t="s">
        <v>62</v>
      </c>
      <c r="B72" s="19">
        <f>27500-450-150+"Contract total less M&amp;I AF"</f>
        <v>26900</v>
      </c>
      <c r="C72" s="19">
        <f>'[1]MACRO INPUT'!E99</f>
        <v>17050.571428571428</v>
      </c>
    </row>
    <row r="73" spans="1:3" ht="17.5" x14ac:dyDescent="0.45">
      <c r="A73" s="22" t="s">
        <v>63</v>
      </c>
      <c r="B73" s="19">
        <v>61200</v>
      </c>
      <c r="C73" s="19">
        <f>'[1]MACRO INPUT'!E100</f>
        <v>40123.714285714283</v>
      </c>
    </row>
    <row r="74" spans="1:3" ht="15" customHeight="1" x14ac:dyDescent="0.45">
      <c r="A74" s="22" t="s">
        <v>64</v>
      </c>
      <c r="B74" s="19">
        <v>39200</v>
      </c>
      <c r="C74" s="19">
        <f>'[1]MACRO INPUT'!E101</f>
        <v>26313.857142857141</v>
      </c>
    </row>
    <row r="75" spans="1:3" ht="15" customHeight="1" x14ac:dyDescent="0.45">
      <c r="A75" s="22" t="s">
        <v>65</v>
      </c>
      <c r="B75" s="19">
        <f>16000-1000</f>
        <v>15000</v>
      </c>
      <c r="C75" s="19">
        <f>'[1]MACRO INPUT'!E102</f>
        <v>9671.8571428571431</v>
      </c>
    </row>
    <row r="76" spans="1:3" ht="15" customHeight="1" x14ac:dyDescent="0.45">
      <c r="A76" s="22" t="s">
        <v>66</v>
      </c>
      <c r="B76" s="19">
        <f>21200+300</f>
        <v>21500</v>
      </c>
      <c r="C76" s="19">
        <f>'[1]MACRO INPUT'!E103</f>
        <v>12473.571428571429</v>
      </c>
    </row>
    <row r="77" spans="1:3" ht="15" customHeight="1" x14ac:dyDescent="0.45">
      <c r="A77" s="22" t="s">
        <v>67</v>
      </c>
      <c r="B77" s="19">
        <f>50000-520+"Contract total less M&amp;I AF"</f>
        <v>49480</v>
      </c>
      <c r="C77" s="19">
        <f>'[1]MACRO INPUT'!E104</f>
        <v>31445</v>
      </c>
    </row>
    <row r="78" spans="1:3" ht="15" customHeight="1" x14ac:dyDescent="0.45">
      <c r="A78" s="22" t="s">
        <v>68</v>
      </c>
      <c r="B78" s="19">
        <v>97000</v>
      </c>
      <c r="C78" s="19">
        <f>'[1]MACRO INPUT'!E105</f>
        <v>61718.57</v>
      </c>
    </row>
    <row r="79" spans="1:3" ht="15" customHeight="1" x14ac:dyDescent="0.45">
      <c r="A79" s="22" t="s">
        <v>69</v>
      </c>
      <c r="B79" s="19">
        <v>10000</v>
      </c>
      <c r="C79" s="19">
        <f>'[1]MACRO INPUT'!E106</f>
        <v>6137.57</v>
      </c>
    </row>
    <row r="80" spans="1:3" ht="15" customHeight="1" x14ac:dyDescent="0.45">
      <c r="A80" s="22" t="s">
        <v>70</v>
      </c>
      <c r="B80" s="19">
        <f>7500-300</f>
        <v>7200</v>
      </c>
      <c r="C80" s="19">
        <f>'[1]MACRO INPUT'!E107</f>
        <v>4502.8599999999997</v>
      </c>
    </row>
    <row r="81" spans="1:3" ht="15" customHeight="1" x14ac:dyDescent="0.45">
      <c r="A81" s="22" t="s">
        <v>71</v>
      </c>
      <c r="B81" s="19">
        <f>29000-1500+"Contract total less M&amp;I AF"</f>
        <v>27500</v>
      </c>
      <c r="C81" s="19">
        <f>'[1]MACRO INPUT'!E108</f>
        <v>16220.86</v>
      </c>
    </row>
    <row r="82" spans="1:3" ht="15" customHeight="1" x14ac:dyDescent="0.45">
      <c r="A82" s="22" t="s">
        <v>72</v>
      </c>
      <c r="B82" s="19">
        <v>400</v>
      </c>
      <c r="C82" s="19">
        <f>'[1]MACRO INPUT'!E109</f>
        <v>215.57142857142858</v>
      </c>
    </row>
    <row r="83" spans="1:3" ht="15" customHeight="1" x14ac:dyDescent="0.45">
      <c r="A83" s="22" t="s">
        <v>73</v>
      </c>
      <c r="B83" s="21">
        <v>30000</v>
      </c>
      <c r="C83" s="19">
        <f>'[1]MACRO INPUT'!E110</f>
        <v>19728</v>
      </c>
    </row>
    <row r="84" spans="1:3" ht="17.5" x14ac:dyDescent="0.45">
      <c r="A84" s="22" t="s">
        <v>74</v>
      </c>
      <c r="B84" s="19">
        <f>SUM(B62:B83)</f>
        <v>591754</v>
      </c>
      <c r="C84" s="23">
        <f>SUM(C62:C83)</f>
        <v>375979.00285714277</v>
      </c>
    </row>
    <row r="85" spans="1:3" ht="15" customHeight="1" x14ac:dyDescent="0.45">
      <c r="A85" s="18" t="s">
        <v>75</v>
      </c>
      <c r="B85" s="19"/>
      <c r="C85" s="19"/>
    </row>
    <row r="86" spans="1:3" ht="15" customHeight="1" x14ac:dyDescent="0.45">
      <c r="A86" s="22" t="s">
        <v>53</v>
      </c>
      <c r="B86" s="19">
        <f>311675</f>
        <v>311675</v>
      </c>
      <c r="C86" s="19">
        <v>0</v>
      </c>
    </row>
    <row r="87" spans="1:3" ht="15" customHeight="1" x14ac:dyDescent="0.45">
      <c r="A87" s="22" t="s">
        <v>54</v>
      </c>
      <c r="B87" s="19">
        <f>74500</f>
        <v>74500</v>
      </c>
      <c r="C87" s="19">
        <v>0</v>
      </c>
    </row>
    <row r="88" spans="1:3" ht="15" customHeight="1" x14ac:dyDescent="0.45">
      <c r="A88" s="22" t="s">
        <v>55</v>
      </c>
      <c r="B88" s="19">
        <f>19000</f>
        <v>19000</v>
      </c>
      <c r="C88" s="19">
        <v>0</v>
      </c>
    </row>
    <row r="89" spans="1:3" ht="15" customHeight="1" x14ac:dyDescent="0.45">
      <c r="A89" s="22" t="s">
        <v>76</v>
      </c>
      <c r="B89" s="19">
        <f>75000</f>
        <v>75000</v>
      </c>
      <c r="C89" s="19">
        <v>0</v>
      </c>
    </row>
    <row r="90" spans="1:3" ht="15" customHeight="1" x14ac:dyDescent="0.45">
      <c r="A90" s="22" t="s">
        <v>58</v>
      </c>
      <c r="B90" s="19">
        <f>7900-7400</f>
        <v>500</v>
      </c>
      <c r="C90" s="19">
        <v>0</v>
      </c>
    </row>
    <row r="91" spans="1:3" ht="15" customHeight="1" x14ac:dyDescent="0.45">
      <c r="A91" s="22" t="s">
        <v>59</v>
      </c>
      <c r="B91" s="19">
        <v>7400</v>
      </c>
      <c r="C91" s="19">
        <v>0</v>
      </c>
    </row>
    <row r="92" spans="1:3" ht="15" customHeight="1" x14ac:dyDescent="0.45">
      <c r="A92" s="22" t="s">
        <v>21</v>
      </c>
      <c r="B92" s="19">
        <v>5000</v>
      </c>
      <c r="C92" s="19">
        <v>0</v>
      </c>
    </row>
    <row r="93" spans="1:3" ht="15" customHeight="1" x14ac:dyDescent="0.45">
      <c r="A93" s="22" t="s">
        <v>61</v>
      </c>
      <c r="B93" s="19">
        <f>22000</f>
        <v>22000</v>
      </c>
      <c r="C93" s="19">
        <v>0</v>
      </c>
    </row>
    <row r="94" spans="1:3" ht="15" customHeight="1" x14ac:dyDescent="0.45">
      <c r="A94" s="22" t="s">
        <v>63</v>
      </c>
      <c r="B94" s="19">
        <f>238000</f>
        <v>238000</v>
      </c>
      <c r="C94" s="19">
        <v>0</v>
      </c>
    </row>
    <row r="95" spans="1:3" ht="15" customHeight="1" x14ac:dyDescent="0.45">
      <c r="A95" s="22" t="s">
        <v>65</v>
      </c>
      <c r="B95" s="19">
        <f>30000</f>
        <v>30000</v>
      </c>
      <c r="C95" s="19">
        <v>0</v>
      </c>
    </row>
    <row r="96" spans="1:3" ht="15" customHeight="1" x14ac:dyDescent="0.45">
      <c r="A96" s="22" t="s">
        <v>66</v>
      </c>
      <c r="B96" s="19">
        <f>32800</f>
        <v>32800</v>
      </c>
      <c r="C96" s="19">
        <v>0</v>
      </c>
    </row>
    <row r="97" spans="1:3" ht="15" customHeight="1" x14ac:dyDescent="0.45">
      <c r="A97" s="22" t="s">
        <v>67</v>
      </c>
      <c r="B97" s="19">
        <f>39600</f>
        <v>39600</v>
      </c>
      <c r="C97" s="19">
        <v>0</v>
      </c>
    </row>
    <row r="98" spans="1:3" ht="15" customHeight="1" x14ac:dyDescent="0.45">
      <c r="A98" s="22" t="s">
        <v>68</v>
      </c>
      <c r="B98" s="19">
        <f>50000-5000</f>
        <v>45000</v>
      </c>
      <c r="C98" s="19">
        <v>0</v>
      </c>
    </row>
    <row r="99" spans="1:3" ht="15" customHeight="1" x14ac:dyDescent="0.45">
      <c r="A99" s="22" t="s">
        <v>73</v>
      </c>
      <c r="B99" s="21">
        <f>141000</f>
        <v>141000</v>
      </c>
      <c r="C99" s="19">
        <v>0</v>
      </c>
    </row>
    <row r="100" spans="1:3" ht="15" customHeight="1" x14ac:dyDescent="0.45">
      <c r="A100" s="22" t="s">
        <v>77</v>
      </c>
      <c r="B100" s="19">
        <f>SUM(B86:B99)</f>
        <v>1041475</v>
      </c>
      <c r="C100" s="23">
        <f>SUM(C86:C99)</f>
        <v>0</v>
      </c>
    </row>
    <row r="101" spans="1:3" ht="17.5" x14ac:dyDescent="0.45">
      <c r="A101" s="18" t="s">
        <v>78</v>
      </c>
      <c r="B101" s="19"/>
      <c r="C101" s="19"/>
    </row>
    <row r="102" spans="1:3" ht="15" customHeight="1" x14ac:dyDescent="0.45">
      <c r="A102" s="22" t="s">
        <v>79</v>
      </c>
      <c r="B102" s="19">
        <v>24000</v>
      </c>
      <c r="C102" s="19">
        <f>'[1]MACRO INPUT'!E133</f>
        <v>24000</v>
      </c>
    </row>
    <row r="103" spans="1:3" ht="17.5" x14ac:dyDescent="0.45">
      <c r="A103" s="18" t="s">
        <v>80</v>
      </c>
      <c r="B103" s="25"/>
      <c r="C103" s="26"/>
    </row>
    <row r="104" spans="1:3" ht="15" customHeight="1" x14ac:dyDescent="0.45">
      <c r="A104" s="22" t="s">
        <v>81</v>
      </c>
      <c r="B104" s="19">
        <v>55000</v>
      </c>
      <c r="C104" s="19">
        <f>'[1]MACRO INPUT'!E137</f>
        <v>35840.142857142855</v>
      </c>
    </row>
    <row r="105" spans="1:3" ht="15" customHeight="1" x14ac:dyDescent="0.45">
      <c r="A105" s="22" t="s">
        <v>82</v>
      </c>
      <c r="B105" s="21">
        <v>85000</v>
      </c>
      <c r="C105" s="19">
        <f>'[1]MACRO INPUT'!E138</f>
        <v>55867</v>
      </c>
    </row>
    <row r="106" spans="1:3" ht="15" customHeight="1" x14ac:dyDescent="0.45">
      <c r="A106" s="22" t="s">
        <v>83</v>
      </c>
      <c r="B106" s="19">
        <f>SUM(B104:B105)</f>
        <v>140000</v>
      </c>
      <c r="C106" s="23">
        <f>SUM(C104:C105)</f>
        <v>91707.142857142855</v>
      </c>
    </row>
    <row r="107" spans="1:3" ht="15" customHeight="1" x14ac:dyDescent="0.45">
      <c r="A107" s="18" t="s">
        <v>84</v>
      </c>
      <c r="B107" s="19"/>
      <c r="C107" s="19"/>
    </row>
    <row r="108" spans="1:3" ht="15" customHeight="1" x14ac:dyDescent="0.45">
      <c r="A108" s="22" t="s">
        <v>81</v>
      </c>
      <c r="B108" s="19">
        <f>160000</f>
        <v>160000</v>
      </c>
      <c r="C108" s="19">
        <v>0</v>
      </c>
    </row>
    <row r="109" spans="1:3" ht="15" customHeight="1" x14ac:dyDescent="0.45">
      <c r="A109" s="22" t="s">
        <v>82</v>
      </c>
      <c r="B109" s="21">
        <f>186000</f>
        <v>186000</v>
      </c>
      <c r="C109" s="19">
        <v>0</v>
      </c>
    </row>
    <row r="110" spans="1:3" ht="15" customHeight="1" x14ac:dyDescent="0.45">
      <c r="A110" s="22" t="s">
        <v>85</v>
      </c>
      <c r="B110" s="19">
        <f>SUM(B108:B109)</f>
        <v>346000</v>
      </c>
      <c r="C110" s="23">
        <f>SUM(C108:C109)</f>
        <v>0</v>
      </c>
    </row>
    <row r="111" spans="1:3" ht="15" customHeight="1" x14ac:dyDescent="0.45">
      <c r="A111" s="18" t="s">
        <v>86</v>
      </c>
      <c r="B111" s="19"/>
      <c r="C111" s="19"/>
    </row>
    <row r="112" spans="1:3" ht="15" customHeight="1" x14ac:dyDescent="0.45">
      <c r="A112" s="22" t="s">
        <v>87</v>
      </c>
      <c r="B112" s="19">
        <v>49000</v>
      </c>
      <c r="C112" s="19">
        <f>'[1]MACRO INPUT'!E149</f>
        <v>15626</v>
      </c>
    </row>
    <row r="113" spans="1:3" ht="15" customHeight="1" x14ac:dyDescent="0.45">
      <c r="A113" s="22" t="s">
        <v>88</v>
      </c>
      <c r="B113" s="19">
        <v>25000</v>
      </c>
      <c r="C113" s="19">
        <f>'[1]MACRO INPUT'!E150</f>
        <v>5603.4285714285716</v>
      </c>
    </row>
    <row r="114" spans="1:3" ht="17.5" x14ac:dyDescent="0.45">
      <c r="A114" s="22" t="s">
        <v>89</v>
      </c>
      <c r="B114" s="23">
        <f>SUM(B112:B113)</f>
        <v>74000</v>
      </c>
      <c r="C114" s="23">
        <f>SUM(C112:C113)</f>
        <v>21229.428571428572</v>
      </c>
    </row>
    <row r="115" spans="1:3" ht="15" customHeight="1" x14ac:dyDescent="0.45">
      <c r="A115" s="18" t="s">
        <v>90</v>
      </c>
      <c r="B115" s="19"/>
      <c r="C115" s="19"/>
    </row>
    <row r="116" spans="1:3" ht="15" customHeight="1" x14ac:dyDescent="0.45">
      <c r="A116" s="22" t="s">
        <v>91</v>
      </c>
      <c r="B116" s="19">
        <f>7000-3000</f>
        <v>4000</v>
      </c>
      <c r="C116" s="19">
        <f>'[1]MACRO INPUT'!E155</f>
        <v>2490.7142857142858</v>
      </c>
    </row>
    <row r="117" spans="1:3" ht="15" customHeight="1" x14ac:dyDescent="0.45">
      <c r="A117" s="22" t="s">
        <v>92</v>
      </c>
      <c r="B117" s="19">
        <v>7</v>
      </c>
      <c r="C117" s="19">
        <f>'[1]MACRO INPUT'!E156</f>
        <v>1</v>
      </c>
    </row>
    <row r="118" spans="1:3" ht="15" customHeight="1" x14ac:dyDescent="0.45">
      <c r="A118" s="22" t="s">
        <v>93</v>
      </c>
      <c r="B118" s="19">
        <v>490</v>
      </c>
      <c r="C118" s="19">
        <f>'[1]MACRO INPUT'!E157</f>
        <v>70</v>
      </c>
    </row>
    <row r="119" spans="1:3" ht="15" customHeight="1" x14ac:dyDescent="0.45">
      <c r="A119" s="22" t="s">
        <v>94</v>
      </c>
      <c r="B119" s="19">
        <v>4</v>
      </c>
      <c r="C119" s="19">
        <f>'[1]MACRO INPUT'!E158</f>
        <v>3.1428571428571428</v>
      </c>
    </row>
    <row r="120" spans="1:3" ht="15" customHeight="1" x14ac:dyDescent="0.45">
      <c r="A120" s="22" t="s">
        <v>95</v>
      </c>
      <c r="B120" s="19">
        <v>345</v>
      </c>
      <c r="C120" s="19">
        <f>'[1]MACRO INPUT'!E159</f>
        <v>254.28571428571428</v>
      </c>
    </row>
    <row r="121" spans="1:3" ht="15" customHeight="1" x14ac:dyDescent="0.45">
      <c r="A121" s="22" t="s">
        <v>96</v>
      </c>
      <c r="B121" s="19">
        <v>135</v>
      </c>
      <c r="C121" s="19">
        <f>'[1]MACRO INPUT'!E160</f>
        <v>19.285714285714285</v>
      </c>
    </row>
    <row r="122" spans="1:3" ht="17.5" x14ac:dyDescent="0.45">
      <c r="A122" s="22" t="s">
        <v>97</v>
      </c>
      <c r="B122" s="27">
        <f>SUM(B116:B121)</f>
        <v>4981</v>
      </c>
      <c r="C122" s="27">
        <f>SUM(C116:C121)</f>
        <v>2838.4285714285716</v>
      </c>
    </row>
    <row r="123" spans="1:3" ht="15" customHeight="1" x14ac:dyDescent="0.45">
      <c r="A123" s="18" t="s">
        <v>98</v>
      </c>
      <c r="B123" s="19"/>
      <c r="C123" s="19"/>
    </row>
    <row r="124" spans="1:3" ht="15" customHeight="1" x14ac:dyDescent="0.45">
      <c r="A124" s="20" t="s">
        <v>99</v>
      </c>
      <c r="B124" s="19">
        <v>45</v>
      </c>
      <c r="C124" s="19">
        <f>'[1]MACRO INPUT'!E165</f>
        <v>6.4285714285714288</v>
      </c>
    </row>
    <row r="125" spans="1:3" ht="15" customHeight="1" x14ac:dyDescent="0.45">
      <c r="A125" s="20" t="s">
        <v>100</v>
      </c>
      <c r="B125" s="19">
        <v>88</v>
      </c>
      <c r="C125" s="19">
        <f>'[1]MACRO INPUT'!E166</f>
        <v>26</v>
      </c>
    </row>
    <row r="126" spans="1:3" ht="15" customHeight="1" x14ac:dyDescent="0.45">
      <c r="A126" s="20" t="s">
        <v>101</v>
      </c>
      <c r="B126" s="19">
        <v>1560</v>
      </c>
      <c r="C126" s="19">
        <f>'[1]MACRO INPUT'!E167</f>
        <v>1037.2857142857142</v>
      </c>
    </row>
    <row r="127" spans="1:3" ht="15" customHeight="1" x14ac:dyDescent="0.45">
      <c r="A127" s="20" t="s">
        <v>102</v>
      </c>
      <c r="B127" s="19">
        <v>24</v>
      </c>
      <c r="C127" s="19">
        <f>'[1]MACRO INPUT'!E168</f>
        <v>22.285714285714285</v>
      </c>
    </row>
    <row r="128" spans="1:3" ht="15" customHeight="1" x14ac:dyDescent="0.45">
      <c r="A128" s="20" t="s">
        <v>103</v>
      </c>
      <c r="B128" s="19">
        <v>2630</v>
      </c>
      <c r="C128" s="19">
        <f>'[1]MACRO INPUT'!E169</f>
        <v>2350.4285714285716</v>
      </c>
    </row>
    <row r="129" spans="1:3" ht="15" customHeight="1" x14ac:dyDescent="0.45">
      <c r="A129" s="20" t="s">
        <v>104</v>
      </c>
      <c r="B129" s="19">
        <v>264</v>
      </c>
      <c r="C129" s="19">
        <f>'[1]MACRO INPUT'!E170</f>
        <v>227.85714285714286</v>
      </c>
    </row>
    <row r="130" spans="1:3" ht="15" customHeight="1" x14ac:dyDescent="0.45">
      <c r="A130" s="20" t="s">
        <v>105</v>
      </c>
      <c r="B130" s="19">
        <f>55+340+16+8</f>
        <v>419</v>
      </c>
      <c r="C130" s="19">
        <f>'[1]MACRO INPUT'!E171</f>
        <v>353.42857142857144</v>
      </c>
    </row>
    <row r="131" spans="1:3" ht="15" customHeight="1" x14ac:dyDescent="0.45">
      <c r="A131" s="20" t="s">
        <v>106</v>
      </c>
      <c r="B131" s="19">
        <v>200</v>
      </c>
      <c r="C131" s="19">
        <f>'[1]MACRO INPUT'!E172</f>
        <v>138.42857142857142</v>
      </c>
    </row>
    <row r="132" spans="1:3" ht="15" customHeight="1" x14ac:dyDescent="0.45">
      <c r="A132" s="20" t="s">
        <v>107</v>
      </c>
      <c r="B132" s="19">
        <v>100</v>
      </c>
      <c r="C132" s="19">
        <f>'[1]MACRO INPUT'!E173</f>
        <v>82.142857142857139</v>
      </c>
    </row>
    <row r="133" spans="1:3" ht="15" customHeight="1" x14ac:dyDescent="0.45">
      <c r="A133" s="20" t="s">
        <v>108</v>
      </c>
      <c r="B133" s="19">
        <v>672</v>
      </c>
      <c r="C133" s="19">
        <f>'[1]MACRO INPUT'!E174</f>
        <v>440.42857142857144</v>
      </c>
    </row>
    <row r="134" spans="1:3" ht="15" customHeight="1" x14ac:dyDescent="0.45">
      <c r="A134" s="20" t="s">
        <v>109</v>
      </c>
      <c r="B134" s="25">
        <v>135</v>
      </c>
      <c r="C134" s="19">
        <f>'[1]MACRO INPUT'!E175</f>
        <v>114.14285714285714</v>
      </c>
    </row>
    <row r="135" spans="1:3" ht="15" customHeight="1" x14ac:dyDescent="0.45">
      <c r="A135" s="20" t="s">
        <v>110</v>
      </c>
      <c r="B135" s="19">
        <v>55</v>
      </c>
      <c r="C135" s="19">
        <f>'[1]MACRO INPUT'!E176</f>
        <v>45.428571428571431</v>
      </c>
    </row>
    <row r="136" spans="1:3" ht="15" customHeight="1" x14ac:dyDescent="0.45">
      <c r="A136" s="20" t="s">
        <v>111</v>
      </c>
      <c r="B136" s="19">
        <v>672</v>
      </c>
      <c r="C136" s="19">
        <f>'[1]MACRO INPUT'!E177</f>
        <v>396.57142857142856</v>
      </c>
    </row>
    <row r="137" spans="1:3" ht="15" customHeight="1" x14ac:dyDescent="0.45">
      <c r="A137" s="20" t="s">
        <v>112</v>
      </c>
      <c r="B137" s="19">
        <v>230</v>
      </c>
      <c r="C137" s="19">
        <f>'[1]MACRO INPUT'!E178</f>
        <v>32.857142857142854</v>
      </c>
    </row>
    <row r="138" spans="1:3" ht="15" customHeight="1" x14ac:dyDescent="0.45">
      <c r="A138" s="20" t="s">
        <v>113</v>
      </c>
      <c r="B138" s="19">
        <v>120</v>
      </c>
      <c r="C138" s="19">
        <f>'[1]MACRO INPUT'!E179</f>
        <v>94.714285714285708</v>
      </c>
    </row>
    <row r="139" spans="1:3" ht="15" customHeight="1" x14ac:dyDescent="0.45">
      <c r="A139" s="20" t="s">
        <v>114</v>
      </c>
      <c r="B139" s="19">
        <v>22</v>
      </c>
      <c r="C139" s="19">
        <f>'[1]MACRO INPUT'!E180</f>
        <v>3.1428571428571428</v>
      </c>
    </row>
    <row r="140" spans="1:3" ht="15" customHeight="1" x14ac:dyDescent="0.45">
      <c r="A140" s="20" t="s">
        <v>115</v>
      </c>
      <c r="B140" s="19">
        <f>80+10</f>
        <v>90</v>
      </c>
      <c r="C140" s="19">
        <f>'[1]MACRO INPUT'!E181</f>
        <v>49</v>
      </c>
    </row>
    <row r="141" spans="1:3" ht="15" customHeight="1" x14ac:dyDescent="0.45">
      <c r="A141" s="20" t="s">
        <v>116</v>
      </c>
      <c r="B141" s="19">
        <v>14</v>
      </c>
      <c r="C141" s="19">
        <f>'[1]MACRO INPUT'!E182</f>
        <v>2</v>
      </c>
    </row>
    <row r="142" spans="1:3" ht="15" customHeight="1" x14ac:dyDescent="0.45">
      <c r="A142" s="20" t="s">
        <v>117</v>
      </c>
      <c r="B142" s="19">
        <v>106</v>
      </c>
      <c r="C142" s="19">
        <f>'[1]MACRO INPUT'!E183</f>
        <v>15.142857142857142</v>
      </c>
    </row>
    <row r="143" spans="1:3" ht="15" customHeight="1" x14ac:dyDescent="0.45">
      <c r="A143" s="20" t="s">
        <v>118</v>
      </c>
      <c r="B143" s="19">
        <v>340</v>
      </c>
      <c r="C143" s="19">
        <f>'[1]MACRO INPUT'!E184</f>
        <v>192</v>
      </c>
    </row>
    <row r="144" spans="1:3" ht="15" customHeight="1" x14ac:dyDescent="0.45">
      <c r="A144" s="20" t="s">
        <v>119</v>
      </c>
      <c r="B144" s="19">
        <v>634</v>
      </c>
      <c r="C144" s="19">
        <f>'[1]MACRO INPUT'!E185</f>
        <v>430.71428571428572</v>
      </c>
    </row>
    <row r="145" spans="1:3" ht="15" customHeight="1" x14ac:dyDescent="0.45">
      <c r="A145" s="20" t="s">
        <v>120</v>
      </c>
      <c r="B145" s="19">
        <v>160</v>
      </c>
      <c r="C145" s="19">
        <f>'[1]MACRO INPUT'!E186</f>
        <v>119.14285714285714</v>
      </c>
    </row>
    <row r="146" spans="1:3" ht="15" customHeight="1" x14ac:dyDescent="0.45">
      <c r="A146" s="20" t="s">
        <v>121</v>
      </c>
      <c r="B146" s="25">
        <v>16</v>
      </c>
      <c r="C146" s="19">
        <f>'[1]MACRO INPUT'!E187</f>
        <v>2.2857142857142856</v>
      </c>
    </row>
    <row r="147" spans="1:3" ht="15" customHeight="1" x14ac:dyDescent="0.45">
      <c r="A147" s="20" t="s">
        <v>122</v>
      </c>
      <c r="B147" s="19">
        <v>20000</v>
      </c>
      <c r="C147" s="19">
        <f>'[1]MACRO INPUT'!E188</f>
        <v>2676.4285714285716</v>
      </c>
    </row>
    <row r="148" spans="1:3" ht="15" customHeight="1" x14ac:dyDescent="0.45">
      <c r="A148" s="20" t="s">
        <v>123</v>
      </c>
      <c r="B148" s="19">
        <v>20</v>
      </c>
      <c r="C148" s="19">
        <f>'[1]MACRO INPUT'!E189</f>
        <v>2.8571428571428572</v>
      </c>
    </row>
    <row r="149" spans="1:3" ht="15" customHeight="1" x14ac:dyDescent="0.45">
      <c r="A149" s="20" t="s">
        <v>124</v>
      </c>
      <c r="B149" s="19">
        <v>50</v>
      </c>
      <c r="C149" s="19">
        <f>'[1]MACRO INPUT'!E190</f>
        <v>39.285714285714285</v>
      </c>
    </row>
    <row r="150" spans="1:3" ht="15" customHeight="1" x14ac:dyDescent="0.45">
      <c r="A150" s="20" t="s">
        <v>125</v>
      </c>
      <c r="B150" s="19">
        <v>90</v>
      </c>
      <c r="C150" s="19">
        <f>'[1]MACRO INPUT'!E191</f>
        <v>64.857142857142861</v>
      </c>
    </row>
    <row r="151" spans="1:3" ht="15" customHeight="1" x14ac:dyDescent="0.45">
      <c r="A151" s="20" t="s">
        <v>126</v>
      </c>
      <c r="B151" s="19">
        <v>760</v>
      </c>
      <c r="C151" s="19">
        <f>'[1]MACRO INPUT'!E192</f>
        <v>374.14285714285717</v>
      </c>
    </row>
    <row r="152" spans="1:3" ht="15" customHeight="1" x14ac:dyDescent="0.45">
      <c r="A152" s="20" t="s">
        <v>127</v>
      </c>
      <c r="B152" s="19">
        <v>105000</v>
      </c>
      <c r="C152" s="19">
        <f>'[1]MACRO INPUT'!E193</f>
        <v>70036.571428571435</v>
      </c>
    </row>
    <row r="153" spans="1:3" ht="15" customHeight="1" x14ac:dyDescent="0.45">
      <c r="A153" s="29" t="s">
        <v>128</v>
      </c>
      <c r="B153" s="19">
        <v>210</v>
      </c>
      <c r="C153" s="19">
        <f>'[1]MACRO INPUT'!E194</f>
        <v>141.14285714285714</v>
      </c>
    </row>
    <row r="154" spans="1:3" ht="15" customHeight="1" x14ac:dyDescent="0.45">
      <c r="A154" s="20" t="s">
        <v>129</v>
      </c>
      <c r="B154" s="19">
        <v>1150</v>
      </c>
      <c r="C154" s="19">
        <f>'[1]MACRO INPUT'!E195</f>
        <v>751.57142857142856</v>
      </c>
    </row>
    <row r="155" spans="1:3" ht="15" customHeight="1" x14ac:dyDescent="0.45">
      <c r="A155" s="20" t="s">
        <v>130</v>
      </c>
      <c r="B155" s="19">
        <f>17+13</f>
        <v>30</v>
      </c>
      <c r="C155" s="19">
        <f>'[1]MACRO INPUT'!E196</f>
        <v>4.2857142857142856</v>
      </c>
    </row>
    <row r="156" spans="1:3" ht="15" customHeight="1" x14ac:dyDescent="0.45">
      <c r="A156" s="20" t="s">
        <v>131</v>
      </c>
      <c r="B156" s="19">
        <v>16</v>
      </c>
      <c r="C156" s="19">
        <f>'[1]MACRO INPUT'!E197</f>
        <v>13.428571428571429</v>
      </c>
    </row>
    <row r="157" spans="1:3" ht="15" customHeight="1" x14ac:dyDescent="0.45">
      <c r="A157" s="20" t="s">
        <v>132</v>
      </c>
      <c r="B157" s="19">
        <v>200</v>
      </c>
      <c r="C157" s="19">
        <f>'[1]MACRO INPUT'!E198</f>
        <v>28.571428571428573</v>
      </c>
    </row>
    <row r="158" spans="1:3" ht="15" customHeight="1" x14ac:dyDescent="0.45">
      <c r="A158" s="20" t="s">
        <v>133</v>
      </c>
      <c r="B158" s="19">
        <f>34+60</f>
        <v>94</v>
      </c>
      <c r="C158" s="19">
        <f>'[1]MACRO INPUT'!E199</f>
        <v>39.714285714285715</v>
      </c>
    </row>
    <row r="159" spans="1:3" ht="15" customHeight="1" x14ac:dyDescent="0.45">
      <c r="A159" s="20" t="s">
        <v>134</v>
      </c>
      <c r="B159" s="19">
        <v>1410</v>
      </c>
      <c r="C159" s="19">
        <f>'[1]MACRO INPUT'!E200</f>
        <v>941.42857142857144</v>
      </c>
    </row>
    <row r="160" spans="1:3" ht="15" customHeight="1" x14ac:dyDescent="0.45">
      <c r="A160" s="20" t="s">
        <v>135</v>
      </c>
      <c r="B160" s="19">
        <v>485</v>
      </c>
      <c r="C160" s="19">
        <f>'[1]MACRO INPUT'!E201</f>
        <v>69.285714285714292</v>
      </c>
    </row>
    <row r="161" spans="1:3" ht="15" customHeight="1" x14ac:dyDescent="0.45">
      <c r="A161" s="20" t="s">
        <v>136</v>
      </c>
      <c r="B161" s="19">
        <v>40</v>
      </c>
      <c r="C161" s="19">
        <f>'[1]MACRO INPUT'!E202</f>
        <v>37</v>
      </c>
    </row>
    <row r="162" spans="1:3" ht="15" customHeight="1" x14ac:dyDescent="0.45">
      <c r="A162" s="20" t="s">
        <v>137</v>
      </c>
      <c r="B162" s="19">
        <f>320+280+"Contract totals for Area 1 &amp;2"</f>
        <v>600</v>
      </c>
      <c r="C162" s="19">
        <f>'[1]MACRO INPUT'!E203</f>
        <v>85.714285714285708</v>
      </c>
    </row>
    <row r="163" spans="1:3" ht="15" customHeight="1" x14ac:dyDescent="0.45">
      <c r="A163" s="20" t="s">
        <v>138</v>
      </c>
      <c r="B163" s="19">
        <v>7</v>
      </c>
      <c r="C163" s="19">
        <f>'[1]MACRO INPUT'!E204</f>
        <v>1</v>
      </c>
    </row>
    <row r="164" spans="1:3" ht="15" customHeight="1" x14ac:dyDescent="0.45">
      <c r="A164" s="20" t="s">
        <v>139</v>
      </c>
      <c r="B164" s="19">
        <v>13</v>
      </c>
      <c r="C164" s="19">
        <f>'[1]MACRO INPUT'!E205</f>
        <v>1.8571428571428572</v>
      </c>
    </row>
    <row r="165" spans="1:3" ht="17.5" x14ac:dyDescent="0.45">
      <c r="A165" s="20" t="s">
        <v>140</v>
      </c>
      <c r="B165" s="19">
        <v>90</v>
      </c>
      <c r="C165" s="19">
        <f>'[1]MACRO INPUT'!E206</f>
        <v>48.285714285714285</v>
      </c>
    </row>
    <row r="166" spans="1:3" ht="15" customHeight="1" x14ac:dyDescent="0.45">
      <c r="A166" s="20" t="s">
        <v>141</v>
      </c>
      <c r="B166" s="19">
        <v>960</v>
      </c>
      <c r="C166" s="19">
        <f>'[1]MACRO INPUT'!E207</f>
        <v>592.85714285714289</v>
      </c>
    </row>
    <row r="167" spans="1:3" ht="15" customHeight="1" x14ac:dyDescent="0.45">
      <c r="A167" s="20" t="s">
        <v>142</v>
      </c>
      <c r="B167" s="19">
        <v>20</v>
      </c>
      <c r="C167" s="19">
        <f>'[1]MACRO INPUT'!E208</f>
        <v>16.428571428571427</v>
      </c>
    </row>
    <row r="168" spans="1:3" ht="17.5" x14ac:dyDescent="0.45">
      <c r="A168" s="20" t="s">
        <v>143</v>
      </c>
      <c r="B168" s="25">
        <v>300</v>
      </c>
      <c r="C168" s="19">
        <f>'[1]MACRO INPUT'!E209</f>
        <v>235.71428571428572</v>
      </c>
    </row>
    <row r="169" spans="1:3" ht="15" customHeight="1" x14ac:dyDescent="0.45">
      <c r="A169" s="29" t="s">
        <v>144</v>
      </c>
      <c r="B169" s="19">
        <v>14</v>
      </c>
      <c r="C169" s="19">
        <f>'[1]MACRO INPUT'!E210</f>
        <v>2</v>
      </c>
    </row>
    <row r="170" spans="1:3" ht="15" customHeight="1" x14ac:dyDescent="0.45">
      <c r="A170" s="20" t="s">
        <v>145</v>
      </c>
      <c r="B170" s="19">
        <v>230</v>
      </c>
      <c r="C170" s="19">
        <f>'[1]MACRO INPUT'!E211</f>
        <v>85.714285714285708</v>
      </c>
    </row>
    <row r="171" spans="1:3" ht="15" customHeight="1" x14ac:dyDescent="0.45">
      <c r="A171" s="20" t="s">
        <v>146</v>
      </c>
      <c r="B171" s="19">
        <v>197</v>
      </c>
      <c r="C171" s="19">
        <f>'[1]MACRO INPUT'!E212</f>
        <v>90</v>
      </c>
    </row>
    <row r="172" spans="1:3" ht="15" customHeight="1" x14ac:dyDescent="0.45">
      <c r="A172" s="20" t="s">
        <v>147</v>
      </c>
      <c r="B172" s="25">
        <v>30</v>
      </c>
      <c r="C172" s="19">
        <f>'[1]MACRO INPUT'!E213</f>
        <v>4.2857142857142856</v>
      </c>
    </row>
    <row r="173" spans="1:3" ht="15" customHeight="1" x14ac:dyDescent="0.45">
      <c r="A173" s="20" t="s">
        <v>148</v>
      </c>
      <c r="B173" s="19">
        <v>47</v>
      </c>
      <c r="C173" s="19">
        <f>'[1]MACRO INPUT'!E214</f>
        <v>44.857142857142854</v>
      </c>
    </row>
    <row r="174" spans="1:3" ht="15" customHeight="1" x14ac:dyDescent="0.45">
      <c r="A174" s="20" t="s">
        <v>149</v>
      </c>
      <c r="B174" s="19">
        <v>700</v>
      </c>
      <c r="C174" s="19">
        <f>'[1]MACRO INPUT'!E215</f>
        <v>375</v>
      </c>
    </row>
    <row r="175" spans="1:3" ht="15" customHeight="1" x14ac:dyDescent="0.45">
      <c r="A175" s="20" t="s">
        <v>150</v>
      </c>
      <c r="B175" s="19">
        <v>440</v>
      </c>
      <c r="C175" s="19">
        <f>'[1]MACRO INPUT'!E216</f>
        <v>411.14285714285717</v>
      </c>
    </row>
    <row r="176" spans="1:3" ht="15" customHeight="1" x14ac:dyDescent="0.45">
      <c r="A176" s="20" t="s">
        <v>151</v>
      </c>
      <c r="B176" s="19">
        <v>610</v>
      </c>
      <c r="C176" s="19">
        <f>'[1]MACRO INPUT'!E217</f>
        <v>452.71428571428572</v>
      </c>
    </row>
    <row r="177" spans="1:3" ht="15" customHeight="1" x14ac:dyDescent="0.45">
      <c r="A177" s="20" t="s">
        <v>152</v>
      </c>
      <c r="B177" s="19">
        <v>6000</v>
      </c>
      <c r="C177" s="19">
        <f>'[1]MACRO INPUT'!E218</f>
        <v>4141</v>
      </c>
    </row>
    <row r="178" spans="1:3" ht="15" customHeight="1" x14ac:dyDescent="0.45">
      <c r="A178" s="29" t="s">
        <v>153</v>
      </c>
      <c r="B178" s="25">
        <v>30</v>
      </c>
      <c r="C178" s="19">
        <f>'[1]MACRO INPUT'!E219</f>
        <v>24.571428571428573</v>
      </c>
    </row>
    <row r="179" spans="1:3" ht="15" customHeight="1" x14ac:dyDescent="0.45">
      <c r="A179" s="20" t="s">
        <v>154</v>
      </c>
      <c r="B179" s="19">
        <v>12000</v>
      </c>
      <c r="C179" s="19">
        <f>'[1]MACRO INPUT'!E220</f>
        <v>7483.1428571428569</v>
      </c>
    </row>
    <row r="180" spans="1:3" ht="15" customHeight="1" x14ac:dyDescent="0.45">
      <c r="A180" s="20" t="s">
        <v>155</v>
      </c>
      <c r="B180" s="19">
        <v>19</v>
      </c>
      <c r="C180" s="19">
        <f>'[1]MACRO INPUT'!E221</f>
        <v>2.7142857142857144</v>
      </c>
    </row>
    <row r="181" spans="1:3" ht="15" customHeight="1" x14ac:dyDescent="0.45">
      <c r="A181" s="20" t="s">
        <v>156</v>
      </c>
      <c r="B181" s="19">
        <v>140</v>
      </c>
      <c r="C181" s="19">
        <f>'[1]MACRO INPUT'!E222</f>
        <v>60</v>
      </c>
    </row>
    <row r="182" spans="1:3" ht="15" customHeight="1" x14ac:dyDescent="0.45">
      <c r="A182" s="20" t="s">
        <v>157</v>
      </c>
      <c r="B182" s="19">
        <v>85</v>
      </c>
      <c r="C182" s="19">
        <f>'[1]MACRO INPUT'!E223</f>
        <v>22.285714285714285</v>
      </c>
    </row>
    <row r="183" spans="1:3" ht="15" customHeight="1" x14ac:dyDescent="0.45">
      <c r="A183" s="20" t="s">
        <v>158</v>
      </c>
      <c r="B183" s="19">
        <v>269</v>
      </c>
      <c r="C183" s="19">
        <f>'[1]MACRO INPUT'!E224</f>
        <v>80.428571428571431</v>
      </c>
    </row>
    <row r="184" spans="1:3" ht="15" customHeight="1" x14ac:dyDescent="0.45">
      <c r="A184" s="20" t="s">
        <v>159</v>
      </c>
      <c r="B184" s="19">
        <v>22000</v>
      </c>
      <c r="C184" s="19">
        <f>'[1]MACRO INPUT'!E225</f>
        <v>17340.285714285714</v>
      </c>
    </row>
    <row r="185" spans="1:3" ht="15" customHeight="1" x14ac:dyDescent="0.45">
      <c r="A185" s="20" t="s">
        <v>160</v>
      </c>
      <c r="B185" s="19">
        <v>98</v>
      </c>
      <c r="C185" s="19">
        <f>'[1]MACRO INPUT'!E226</f>
        <v>80.571428571428569</v>
      </c>
    </row>
    <row r="186" spans="1:3" ht="15" customHeight="1" x14ac:dyDescent="0.45">
      <c r="A186" s="20" t="s">
        <v>161</v>
      </c>
      <c r="B186" s="19">
        <v>289</v>
      </c>
      <c r="C186" s="19">
        <f>'[1]MACRO INPUT'!E227</f>
        <v>200.14285714285714</v>
      </c>
    </row>
    <row r="187" spans="1:3" ht="15" customHeight="1" x14ac:dyDescent="0.45">
      <c r="A187" s="20" t="s">
        <v>162</v>
      </c>
      <c r="B187" s="19">
        <v>410</v>
      </c>
      <c r="C187" s="19">
        <f>'[1]MACRO INPUT'!E228</f>
        <v>263.71428571428572</v>
      </c>
    </row>
    <row r="188" spans="1:3" ht="15" customHeight="1" x14ac:dyDescent="0.45">
      <c r="A188" s="20" t="s">
        <v>163</v>
      </c>
      <c r="B188" s="19">
        <v>1860</v>
      </c>
      <c r="C188" s="19">
        <f>'[1]MACRO INPUT'!E229</f>
        <v>1297.1428571428571</v>
      </c>
    </row>
    <row r="189" spans="1:3" ht="15" customHeight="1" x14ac:dyDescent="0.45">
      <c r="A189" s="20" t="s">
        <v>164</v>
      </c>
      <c r="B189" s="19">
        <v>1310</v>
      </c>
      <c r="C189" s="19">
        <f>'[1]MACRO INPUT'!E230</f>
        <v>785.42857142857144</v>
      </c>
    </row>
    <row r="190" spans="1:3" ht="15" customHeight="1" x14ac:dyDescent="0.45">
      <c r="A190" s="20" t="s">
        <v>165</v>
      </c>
      <c r="B190" s="19">
        <v>976</v>
      </c>
      <c r="C190" s="19">
        <f>'[1]MACRO INPUT'!E231</f>
        <v>918.57142857142856</v>
      </c>
    </row>
    <row r="191" spans="1:3" ht="15" customHeight="1" x14ac:dyDescent="0.45">
      <c r="A191" s="20" t="s">
        <v>166</v>
      </c>
      <c r="B191" s="19">
        <v>1750</v>
      </c>
      <c r="C191" s="19">
        <f>'[1]MACRO INPUT'!E232</f>
        <v>1339.2857142857142</v>
      </c>
    </row>
    <row r="192" spans="1:3" ht="15" customHeight="1" x14ac:dyDescent="0.45">
      <c r="A192" s="20" t="s">
        <v>167</v>
      </c>
      <c r="B192" s="19">
        <v>2000</v>
      </c>
      <c r="C192" s="19">
        <f>'[1]MACRO INPUT'!E233</f>
        <v>1485.4285714285713</v>
      </c>
    </row>
    <row r="193" spans="1:3" ht="15" customHeight="1" x14ac:dyDescent="0.45">
      <c r="A193" s="20" t="s">
        <v>168</v>
      </c>
      <c r="B193" s="19">
        <v>21</v>
      </c>
      <c r="C193" s="19">
        <f>'[1]MACRO INPUT'!E234</f>
        <v>3</v>
      </c>
    </row>
    <row r="194" spans="1:3" ht="15" customHeight="1" x14ac:dyDescent="0.45">
      <c r="A194" s="20" t="s">
        <v>169</v>
      </c>
      <c r="B194" s="19">
        <v>2500</v>
      </c>
      <c r="C194" s="19">
        <f>'[1]MACRO INPUT'!E235</f>
        <v>1771.5714285714287</v>
      </c>
    </row>
    <row r="195" spans="1:3" ht="15" customHeight="1" x14ac:dyDescent="0.45">
      <c r="A195" s="20" t="s">
        <v>170</v>
      </c>
      <c r="B195" s="19">
        <v>15000</v>
      </c>
      <c r="C195" s="19">
        <f>'[1]MACRO INPUT'!E236</f>
        <v>10367.285714285714</v>
      </c>
    </row>
    <row r="196" spans="1:3" ht="15" customHeight="1" x14ac:dyDescent="0.45">
      <c r="A196" s="20" t="s">
        <v>171</v>
      </c>
      <c r="B196" s="19">
        <v>5000</v>
      </c>
      <c r="C196" s="19">
        <f>'[1]MACRO INPUT'!E237</f>
        <v>2989.7142857142858</v>
      </c>
    </row>
    <row r="197" spans="1:3" ht="15" customHeight="1" x14ac:dyDescent="0.45">
      <c r="A197" s="20" t="s">
        <v>172</v>
      </c>
      <c r="B197" s="19">
        <v>310</v>
      </c>
      <c r="C197" s="19">
        <f>'[1]MACRO INPUT'!E238</f>
        <v>174.57142857142858</v>
      </c>
    </row>
    <row r="198" spans="1:3" ht="15" customHeight="1" x14ac:dyDescent="0.45">
      <c r="A198" s="20" t="s">
        <v>173</v>
      </c>
      <c r="B198" s="19">
        <v>33000</v>
      </c>
      <c r="C198" s="19">
        <f>'[1]MACRO INPUT'!E239</f>
        <v>22114.714285714286</v>
      </c>
    </row>
    <row r="199" spans="1:3" ht="15" customHeight="1" x14ac:dyDescent="0.45">
      <c r="A199" s="20" t="s">
        <v>174</v>
      </c>
      <c r="B199" s="19">
        <v>123</v>
      </c>
      <c r="C199" s="19">
        <f>'[1]MACRO INPUT'!E240</f>
        <v>17.571428571428573</v>
      </c>
    </row>
    <row r="200" spans="1:3" ht="15" customHeight="1" x14ac:dyDescent="0.45">
      <c r="A200" s="20" t="s">
        <v>175</v>
      </c>
      <c r="B200" s="19">
        <v>15000</v>
      </c>
      <c r="C200" s="19">
        <f>'[1]MACRO INPUT'!E241</f>
        <v>8756.2857142857138</v>
      </c>
    </row>
    <row r="201" spans="1:3" ht="15" customHeight="1" x14ac:dyDescent="0.45">
      <c r="A201" s="20" t="s">
        <v>176</v>
      </c>
      <c r="B201" s="19">
        <v>53</v>
      </c>
      <c r="C201" s="19">
        <f>'[1]MACRO INPUT'!E242</f>
        <v>11.285714285714286</v>
      </c>
    </row>
    <row r="202" spans="1:3" ht="17.5" x14ac:dyDescent="0.45">
      <c r="A202" s="20" t="s">
        <v>177</v>
      </c>
      <c r="B202" s="19">
        <v>267</v>
      </c>
      <c r="C202" s="19">
        <f>'[1]MACRO INPUT'!E243</f>
        <v>57.142857142857146</v>
      </c>
    </row>
    <row r="203" spans="1:3" ht="15" customHeight="1" x14ac:dyDescent="0.45">
      <c r="A203" s="20" t="s">
        <v>178</v>
      </c>
      <c r="B203" s="19">
        <v>1030</v>
      </c>
      <c r="C203" s="19">
        <f>'[1]MACRO INPUT'!E244</f>
        <v>598.71428571428567</v>
      </c>
    </row>
    <row r="204" spans="1:3" ht="15" customHeight="1" x14ac:dyDescent="0.45">
      <c r="A204" s="20" t="s">
        <v>179</v>
      </c>
      <c r="B204" s="19">
        <v>500</v>
      </c>
      <c r="C204" s="19">
        <f>'[1]MACRO INPUT'!E245</f>
        <v>291.57142857142856</v>
      </c>
    </row>
    <row r="205" spans="1:3" ht="15" customHeight="1" x14ac:dyDescent="0.45">
      <c r="A205" s="20" t="s">
        <v>180</v>
      </c>
      <c r="B205" s="19">
        <v>300</v>
      </c>
      <c r="C205" s="19">
        <f>'[1]MACRO INPUT'!E246</f>
        <v>257.14285714285717</v>
      </c>
    </row>
    <row r="206" spans="1:3" ht="15" customHeight="1" x14ac:dyDescent="0.45">
      <c r="A206" s="20" t="s">
        <v>181</v>
      </c>
      <c r="B206" s="19">
        <v>5</v>
      </c>
      <c r="C206" s="19">
        <f>'[1]MACRO INPUT'!E247</f>
        <v>3</v>
      </c>
    </row>
    <row r="207" spans="1:3" ht="15" customHeight="1" x14ac:dyDescent="0.45">
      <c r="A207" s="20" t="s">
        <v>182</v>
      </c>
      <c r="B207" s="19">
        <v>710</v>
      </c>
      <c r="C207" s="19">
        <f>'[1]MACRO INPUT'!E248</f>
        <v>380.71428571428572</v>
      </c>
    </row>
    <row r="208" spans="1:3" ht="15" customHeight="1" x14ac:dyDescent="0.45">
      <c r="A208" s="20" t="s">
        <v>183</v>
      </c>
      <c r="B208" s="19">
        <v>270</v>
      </c>
      <c r="C208" s="19">
        <f>'[1]MACRO INPUT'!E249</f>
        <v>38.571428571428569</v>
      </c>
    </row>
    <row r="209" spans="1:3" ht="15" customHeight="1" x14ac:dyDescent="0.45">
      <c r="A209" s="20" t="s">
        <v>184</v>
      </c>
      <c r="B209" s="30">
        <v>56500</v>
      </c>
      <c r="C209" s="19">
        <f>'[1]MACRO INPUT'!E250</f>
        <v>37659</v>
      </c>
    </row>
    <row r="210" spans="1:3" ht="15" customHeight="1" x14ac:dyDescent="0.45">
      <c r="A210" s="29" t="s">
        <v>185</v>
      </c>
      <c r="B210" s="19">
        <v>325</v>
      </c>
      <c r="C210" s="19">
        <f>'[1]MACRO INPUT'!E251</f>
        <v>324.14285714285717</v>
      </c>
    </row>
    <row r="211" spans="1:3" ht="15" customHeight="1" x14ac:dyDescent="0.45">
      <c r="A211" s="29" t="s">
        <v>186</v>
      </c>
      <c r="B211" s="19">
        <v>9800</v>
      </c>
      <c r="C211" s="19">
        <f>'[1]MACRO INPUT'!E252</f>
        <v>7178.8571428571431</v>
      </c>
    </row>
    <row r="212" spans="1:3" ht="15" customHeight="1" x14ac:dyDescent="0.45">
      <c r="A212" s="20" t="s">
        <v>187</v>
      </c>
      <c r="B212" s="19">
        <v>200</v>
      </c>
      <c r="C212" s="19">
        <f>'[1]MACRO INPUT'!E253</f>
        <v>100.85714285714286</v>
      </c>
    </row>
    <row r="213" spans="1:3" ht="15" customHeight="1" x14ac:dyDescent="0.45">
      <c r="A213" s="20" t="s">
        <v>188</v>
      </c>
      <c r="B213" s="19">
        <v>1000</v>
      </c>
      <c r="C213" s="19">
        <f>'[1]MACRO INPUT'!E254</f>
        <v>561.14285714285711</v>
      </c>
    </row>
    <row r="214" spans="1:3" ht="15" customHeight="1" x14ac:dyDescent="0.45">
      <c r="A214" s="20" t="s">
        <v>189</v>
      </c>
      <c r="B214" s="19">
        <v>2000</v>
      </c>
      <c r="C214" s="19">
        <f>'[1]MACRO INPUT'!E255</f>
        <v>1617</v>
      </c>
    </row>
    <row r="215" spans="1:3" ht="15" customHeight="1" x14ac:dyDescent="0.45">
      <c r="A215" s="20" t="s">
        <v>190</v>
      </c>
      <c r="B215" s="19">
        <v>275</v>
      </c>
      <c r="C215" s="19">
        <f>'[1]MACRO INPUT'!E256</f>
        <v>119.28571428571429</v>
      </c>
    </row>
    <row r="216" spans="1:3" ht="15" customHeight="1" x14ac:dyDescent="0.45">
      <c r="A216" s="20" t="s">
        <v>191</v>
      </c>
      <c r="B216" s="19">
        <v>135</v>
      </c>
      <c r="C216" s="19">
        <f>'[1]MACRO INPUT'!E257</f>
        <v>104.85714285714286</v>
      </c>
    </row>
    <row r="217" spans="1:3" ht="15" customHeight="1" x14ac:dyDescent="0.45">
      <c r="A217" s="20" t="s">
        <v>192</v>
      </c>
      <c r="B217" s="25">
        <v>538</v>
      </c>
      <c r="C217" s="19">
        <f>'[1]MACRO INPUT'!E258</f>
        <v>293.42857142857144</v>
      </c>
    </row>
    <row r="218" spans="1:3" ht="15" customHeight="1" x14ac:dyDescent="0.45">
      <c r="A218" s="29" t="s">
        <v>193</v>
      </c>
      <c r="B218" s="19">
        <v>212</v>
      </c>
      <c r="C218" s="19">
        <f>'[1]MACRO INPUT'!E259</f>
        <v>156</v>
      </c>
    </row>
    <row r="219" spans="1:3" ht="15" customHeight="1" x14ac:dyDescent="0.45">
      <c r="A219" s="20" t="s">
        <v>194</v>
      </c>
      <c r="B219" s="19">
        <f>60</f>
        <v>60</v>
      </c>
      <c r="C219" s="19">
        <f>'[1]MACRO INPUT'!E260</f>
        <v>10.142857142857142</v>
      </c>
    </row>
    <row r="220" spans="1:3" ht="15" customHeight="1" x14ac:dyDescent="0.45">
      <c r="A220" s="20" t="s">
        <v>195</v>
      </c>
      <c r="B220" s="19">
        <v>320</v>
      </c>
      <c r="C220" s="19">
        <f>'[1]MACRO INPUT'!E261</f>
        <v>156</v>
      </c>
    </row>
    <row r="221" spans="1:3" ht="15" customHeight="1" x14ac:dyDescent="0.45">
      <c r="A221" s="20" t="s">
        <v>196</v>
      </c>
      <c r="B221" s="19">
        <v>27</v>
      </c>
      <c r="C221" s="19">
        <f>'[1]MACRO INPUT'!E262</f>
        <v>3.8571428571428572</v>
      </c>
    </row>
    <row r="222" spans="1:3" ht="15" customHeight="1" x14ac:dyDescent="0.45">
      <c r="A222" s="20" t="s">
        <v>197</v>
      </c>
      <c r="B222" s="19">
        <v>13</v>
      </c>
      <c r="C222" s="19">
        <f>'[1]MACRO INPUT'!E263</f>
        <v>1.8571428571428572</v>
      </c>
    </row>
    <row r="223" spans="1:3" ht="15" customHeight="1" x14ac:dyDescent="0.45">
      <c r="A223" s="20" t="s">
        <v>198</v>
      </c>
      <c r="B223" s="31">
        <v>8</v>
      </c>
      <c r="C223" s="19">
        <f>'[1]MACRO INPUT'!E264</f>
        <v>3.7142857142857144</v>
      </c>
    </row>
    <row r="224" spans="1:3" ht="15" customHeight="1" x14ac:dyDescent="0.45">
      <c r="A224" s="22" t="s">
        <v>199</v>
      </c>
      <c r="B224" s="27">
        <f>SUM(B124:B223)</f>
        <v>337147</v>
      </c>
      <c r="C224" s="27">
        <f>SUM(C124:C223)</f>
        <v>215497.71428571426</v>
      </c>
    </row>
    <row r="225" spans="1:3" ht="15" customHeight="1" x14ac:dyDescent="0.45">
      <c r="A225" s="18" t="s">
        <v>200</v>
      </c>
      <c r="B225" s="25"/>
      <c r="C225" s="26"/>
    </row>
    <row r="226" spans="1:3" ht="15" customHeight="1" x14ac:dyDescent="0.45">
      <c r="A226" s="22" t="s">
        <v>201</v>
      </c>
      <c r="B226" s="19">
        <f>43800+"Contract total"-8250+"M&amp;I A/F"</f>
        <v>35550</v>
      </c>
      <c r="C226" s="19">
        <f>'[1]MACRO INPUT'!E269</f>
        <v>8814.1428571428569</v>
      </c>
    </row>
    <row r="227" spans="1:3" ht="15" customHeight="1" x14ac:dyDescent="0.45">
      <c r="A227" s="22" t="s">
        <v>202</v>
      </c>
      <c r="B227" s="21">
        <f>152500+"Contract total"-130000+"M&amp;I A/F"+(6260*0.25)+"5/14/99 Mercy Springs assignment to SC Valley WD"</f>
        <v>24065</v>
      </c>
      <c r="C227" s="19">
        <f>'[1]MACRO INPUT'!E270</f>
        <v>12212.714285714286</v>
      </c>
    </row>
    <row r="228" spans="1:3" ht="15" customHeight="1" x14ac:dyDescent="0.45">
      <c r="A228" s="22" t="s">
        <v>203</v>
      </c>
      <c r="B228" s="19">
        <f>SUM(B226:B227)</f>
        <v>59615</v>
      </c>
      <c r="C228" s="23">
        <f>SUM(C226:C227)</f>
        <v>21026.857142857145</v>
      </c>
    </row>
    <row r="229" spans="1:3" ht="17.5" x14ac:dyDescent="0.45">
      <c r="A229" s="18" t="s">
        <v>231</v>
      </c>
      <c r="B229" s="19"/>
      <c r="C229" s="19"/>
    </row>
    <row r="230" spans="1:3" ht="15" customHeight="1" x14ac:dyDescent="0.45">
      <c r="A230" s="22" t="s">
        <v>204</v>
      </c>
      <c r="B230" s="19">
        <f>783000+117000+200000+25000-6000+"less M&amp;I"+(6260*0.75)+"5/14/99 Mercy Springs assignment to WWD"+2500+"11/7/03 Centinella WD full assignment"+2990+"5/27/05 Widren WD full assignment"+3000+"from M&amp;I"+26980+"3/1/2007 Broadview WD full assignment"+4000</f>
        <v>1163165</v>
      </c>
      <c r="C230" s="19">
        <f>'[1]MACRO INPUT'!E275</f>
        <v>399746</v>
      </c>
    </row>
    <row r="231" spans="1:3" ht="15" customHeight="1" x14ac:dyDescent="0.45">
      <c r="A231" s="22" t="s">
        <v>205</v>
      </c>
      <c r="B231" s="21">
        <f>4198+"4/11/03 Mercy Springs assignment to WWD"</f>
        <v>4198</v>
      </c>
      <c r="C231" s="19">
        <f>'[1]MACRO INPUT'!E276</f>
        <v>899.71428571428567</v>
      </c>
    </row>
    <row r="232" spans="1:3" ht="15" customHeight="1" x14ac:dyDescent="0.45">
      <c r="A232" s="22" t="s">
        <v>206</v>
      </c>
      <c r="B232" s="19">
        <f>SUM(B230:B231)</f>
        <v>1167363</v>
      </c>
      <c r="C232" s="23">
        <f>SUM(C230:C231)</f>
        <v>400645.71428571426</v>
      </c>
    </row>
    <row r="233" spans="1:3" ht="17.5" x14ac:dyDescent="0.45">
      <c r="A233" s="18" t="s">
        <v>232</v>
      </c>
      <c r="B233" s="19"/>
      <c r="C233" s="19"/>
    </row>
    <row r="234" spans="1:3" ht="15" customHeight="1" x14ac:dyDescent="0.45">
      <c r="A234" s="22" t="s">
        <v>207</v>
      </c>
      <c r="B234" s="19">
        <f>10080+"Contract total"-1000+"DMC A/F"-80+"M&amp;I A/F"</f>
        <v>9000</v>
      </c>
      <c r="C234" s="19">
        <f>'[1]MACRO INPUT'!E281</f>
        <v>3198.1428571428573</v>
      </c>
    </row>
    <row r="235" spans="1:3" ht="15" customHeight="1" x14ac:dyDescent="0.45">
      <c r="A235" s="22" t="s">
        <v>208</v>
      </c>
      <c r="B235" s="19">
        <f>94000-92+"Contract total"-27000+"DMC A/F"-58+"M&amp;I A/F"</f>
        <v>66850</v>
      </c>
      <c r="C235" s="19">
        <f>'[1]MACRO INPUT'!E282</f>
        <v>18367.428571428572</v>
      </c>
    </row>
    <row r="236" spans="1:3" ht="16.899999999999999" customHeight="1" x14ac:dyDescent="0.45">
      <c r="A236" s="22" t="s">
        <v>209</v>
      </c>
      <c r="B236" s="32">
        <f>125080+"Contract total"-24000+"DMC A/F"-2080+"1900 AF M&amp;I SLC + 180 M&amp;I DMC"</f>
        <v>99000</v>
      </c>
      <c r="C236" s="19">
        <f>'[1]MACRO INPUT'!E283</f>
        <v>29434.285714285714</v>
      </c>
    </row>
    <row r="237" spans="1:3" ht="16.899999999999999" customHeight="1" x14ac:dyDescent="0.45">
      <c r="A237" s="22" t="s">
        <v>210</v>
      </c>
      <c r="B237" s="19">
        <f>SUM(B234:B236)</f>
        <v>174850</v>
      </c>
      <c r="C237" s="23">
        <f>SUM(C234:C236)</f>
        <v>50999.857142857145</v>
      </c>
    </row>
    <row r="238" spans="1:3" ht="17.5" x14ac:dyDescent="0.45">
      <c r="A238" s="18" t="s">
        <v>211</v>
      </c>
      <c r="B238" s="19"/>
      <c r="C238" s="19"/>
    </row>
    <row r="239" spans="1:3" ht="15" customHeight="1" x14ac:dyDescent="0.45">
      <c r="A239" s="22" t="s">
        <v>212</v>
      </c>
      <c r="B239" s="19">
        <v>5700</v>
      </c>
      <c r="C239" s="19">
        <f>'[1]MACRO INPUT'!E288</f>
        <v>1429.8571428571429</v>
      </c>
    </row>
    <row r="240" spans="1:3" ht="15" customHeight="1" x14ac:dyDescent="0.45">
      <c r="A240" s="22" t="s">
        <v>213</v>
      </c>
      <c r="B240" s="19">
        <f>(62200+5965)-150+"Contract #304A &amp; #W0220 totals less M&amp;I AF"</f>
        <v>68015</v>
      </c>
      <c r="C240" s="19">
        <f>'[1]MACRO INPUT'!E289</f>
        <v>23661.857142857141</v>
      </c>
    </row>
    <row r="241" spans="1:3" ht="15" customHeight="1" x14ac:dyDescent="0.45">
      <c r="A241" s="22" t="s">
        <v>214</v>
      </c>
      <c r="B241" s="19">
        <v>1700</v>
      </c>
      <c r="C241" s="19">
        <f>'[1]MACRO INPUT'!E290</f>
        <v>725.28571428571433</v>
      </c>
    </row>
    <row r="242" spans="1:3" ht="15" customHeight="1" x14ac:dyDescent="0.45">
      <c r="A242" s="22" t="s">
        <v>215</v>
      </c>
      <c r="B242" s="19">
        <v>4000</v>
      </c>
      <c r="C242" s="19">
        <f>'[1]MACRO INPUT'!E291</f>
        <v>2722.5714285714284</v>
      </c>
    </row>
    <row r="243" spans="1:3" ht="15" customHeight="1" x14ac:dyDescent="0.45">
      <c r="A243" s="22" t="s">
        <v>216</v>
      </c>
      <c r="B243" s="19">
        <v>19000</v>
      </c>
      <c r="C243" s="19">
        <f>'[1]MACRO INPUT'!E292</f>
        <v>6186.2857142857147</v>
      </c>
    </row>
    <row r="244" spans="1:3" ht="15" customHeight="1" x14ac:dyDescent="0.45">
      <c r="A244" s="22" t="s">
        <v>217</v>
      </c>
      <c r="B244" s="19">
        <v>1730</v>
      </c>
      <c r="C244" s="19">
        <f>'[1]MACRO INPUT'!E293</f>
        <v>963.57142857142856</v>
      </c>
    </row>
    <row r="245" spans="1:3" ht="15" customHeight="1" x14ac:dyDescent="0.45">
      <c r="A245" s="22" t="s">
        <v>218</v>
      </c>
      <c r="B245" s="19">
        <v>10500</v>
      </c>
      <c r="C245" s="19">
        <f>'[1]MACRO INPUT'!E294</f>
        <v>4689.1428571428569</v>
      </c>
    </row>
    <row r="246" spans="1:3" ht="15" customHeight="1" x14ac:dyDescent="0.45">
      <c r="A246" s="22" t="s">
        <v>219</v>
      </c>
      <c r="B246" s="19">
        <v>2450</v>
      </c>
      <c r="C246" s="19">
        <f>'[1]MACRO INPUT'!E295</f>
        <v>251.85714285714286</v>
      </c>
    </row>
    <row r="247" spans="1:3" ht="15" customHeight="1" x14ac:dyDescent="0.45">
      <c r="A247" s="22" t="s">
        <v>220</v>
      </c>
      <c r="B247" s="19">
        <f>45000-20+"to M&amp;I"</f>
        <v>44980</v>
      </c>
      <c r="C247" s="19">
        <f>'[1]MACRO INPUT'!E296</f>
        <v>19964.571428571428</v>
      </c>
    </row>
    <row r="248" spans="1:3" ht="15" customHeight="1" x14ac:dyDescent="0.45">
      <c r="A248" s="22" t="s">
        <v>221</v>
      </c>
      <c r="B248" s="19">
        <v>2100</v>
      </c>
      <c r="C248" s="19">
        <f>'[1]MACRO INPUT'!E297</f>
        <v>300</v>
      </c>
    </row>
    <row r="249" spans="1:3" ht="15" customHeight="1" x14ac:dyDescent="0.45">
      <c r="A249" s="22" t="s">
        <v>222</v>
      </c>
      <c r="B249" s="19">
        <f>5000+2200</f>
        <v>7200</v>
      </c>
      <c r="C249" s="19">
        <f>'[1]MACRO INPUT'!E298</f>
        <v>2868</v>
      </c>
    </row>
    <row r="250" spans="1:3" ht="15" customHeight="1" x14ac:dyDescent="0.45">
      <c r="A250" s="22" t="s">
        <v>223</v>
      </c>
      <c r="B250" s="19">
        <v>255</v>
      </c>
      <c r="C250" s="19">
        <f>'[1]MACRO INPUT'!E299</f>
        <v>29.857142857142858</v>
      </c>
    </row>
    <row r="251" spans="1:3" ht="15" customHeight="1" x14ac:dyDescent="0.45">
      <c r="A251" s="22" t="s">
        <v>224</v>
      </c>
      <c r="B251" s="19">
        <v>53000</v>
      </c>
      <c r="C251" s="19">
        <f>'[1]MACRO INPUT'!E300</f>
        <v>17550.714285714286</v>
      </c>
    </row>
    <row r="252" spans="1:3" ht="15" customHeight="1" x14ac:dyDescent="0.45">
      <c r="A252" s="22" t="s">
        <v>225</v>
      </c>
      <c r="B252" s="32">
        <f>25000+40000</f>
        <v>65000</v>
      </c>
      <c r="C252" s="19">
        <f>'[1]MACRO INPUT'!E301</f>
        <v>29097.857142857141</v>
      </c>
    </row>
    <row r="253" spans="1:3" ht="15" customHeight="1" x14ac:dyDescent="0.45">
      <c r="A253" s="22" t="s">
        <v>226</v>
      </c>
      <c r="B253" s="19">
        <f>SUM(B239:B252)</f>
        <v>285630</v>
      </c>
      <c r="C253" s="23">
        <f>SUM(C239:C252)</f>
        <v>110441.42857142857</v>
      </c>
    </row>
    <row r="254" spans="1:3" s="43" customFormat="1" ht="18" thickBot="1" x14ac:dyDescent="0.5">
      <c r="A254" s="33" t="s">
        <v>227</v>
      </c>
      <c r="B254" s="34">
        <f>SUM(B10+B12+B14+B16+B21+B23+B32+B48+B58+B60+B84+B100+B102+B106+B110+B114+B122+B224+B228+B237++B232+B253)</f>
        <v>4928988</v>
      </c>
      <c r="C254" s="34">
        <f>SUM(C10+C12+C14+C16+C21+C23+C32+C48+C58+C60+C84+C100+C102+C106+C110+C114+C122+C224+C228+C237++C232+C253)</f>
        <v>1459411.7171428569</v>
      </c>
    </row>
    <row r="255" spans="1:3" s="43" customFormat="1" ht="18" thickTop="1" x14ac:dyDescent="0.45">
      <c r="A255" s="35" t="s">
        <v>228</v>
      </c>
      <c r="B255" s="25"/>
      <c r="C255" s="19">
        <f>'[1]MACRO INPUT'!E305</f>
        <v>519504.30089314282</v>
      </c>
    </row>
    <row r="256" spans="1:3" s="43" customFormat="1" ht="17.5" x14ac:dyDescent="0.45">
      <c r="A256" s="44" t="s">
        <v>229</v>
      </c>
      <c r="B256" s="45"/>
      <c r="C256" s="46"/>
    </row>
    <row r="257" spans="1:3" s="43" customFormat="1" ht="35" x14ac:dyDescent="0.45">
      <c r="A257" s="36" t="s">
        <v>233</v>
      </c>
      <c r="B257" s="37"/>
      <c r="C257" s="26"/>
    </row>
    <row r="258" spans="1:3" s="43" customFormat="1" ht="17.5" x14ac:dyDescent="0.45">
      <c r="A258" s="22" t="s">
        <v>230</v>
      </c>
      <c r="B258" s="25"/>
      <c r="C258" s="25"/>
    </row>
    <row r="259" spans="1:3" ht="17.25" customHeight="1" x14ac:dyDescent="0.35"/>
    <row r="260" spans="1:3" ht="17.25" customHeight="1" x14ac:dyDescent="0.35">
      <c r="C260" s="4"/>
    </row>
    <row r="261" spans="1:3" ht="17.25" customHeight="1" x14ac:dyDescent="0.35">
      <c r="C261" s="4"/>
    </row>
    <row r="262" spans="1:3" ht="17.25" customHeight="1" x14ac:dyDescent="0.35">
      <c r="A262" s="8"/>
    </row>
    <row r="263" spans="1:3" ht="17.25" customHeight="1" x14ac:dyDescent="0.35"/>
    <row r="264" spans="1:3" ht="17.25" customHeight="1" x14ac:dyDescent="0.35">
      <c r="A264" s="8"/>
    </row>
    <row r="265" spans="1:3" ht="17.25" customHeight="1" x14ac:dyDescent="0.35">
      <c r="A265" s="9"/>
      <c r="B265" s="10"/>
    </row>
    <row r="266" spans="1:3" ht="17.25" customHeight="1" x14ac:dyDescent="0.35">
      <c r="A266" s="9"/>
      <c r="B266" s="10"/>
    </row>
    <row r="267" spans="1:3" ht="17.25" customHeight="1" x14ac:dyDescent="0.35">
      <c r="A267" s="8"/>
    </row>
    <row r="268" spans="1:3" ht="17.25" customHeight="1" x14ac:dyDescent="0.35">
      <c r="B268" s="10"/>
    </row>
    <row r="269" spans="1:3" ht="17.25" customHeight="1" x14ac:dyDescent="0.35">
      <c r="B269" s="10"/>
    </row>
    <row r="270" spans="1:3" ht="21" customHeight="1" x14ac:dyDescent="0.35"/>
    <row r="271" spans="1:3" ht="21" customHeight="1" x14ac:dyDescent="0.35"/>
    <row r="272" spans="1:3" ht="21" customHeight="1" x14ac:dyDescent="0.35">
      <c r="A272" s="5"/>
    </row>
    <row r="273" spans="1:3" ht="21" customHeight="1" x14ac:dyDescent="0.35">
      <c r="A273" s="11"/>
    </row>
    <row r="274" spans="1:3" ht="21" customHeight="1" x14ac:dyDescent="0.35">
      <c r="A274" s="12"/>
    </row>
    <row r="275" spans="1:3" ht="21" customHeight="1" x14ac:dyDescent="0.35">
      <c r="A275" s="12"/>
    </row>
    <row r="276" spans="1:3" ht="21" customHeight="1" x14ac:dyDescent="0.35"/>
    <row r="277" spans="1:3" ht="21" customHeight="1" x14ac:dyDescent="0.35"/>
    <row r="278" spans="1:3" ht="21" customHeight="1" x14ac:dyDescent="0.35"/>
    <row r="279" spans="1:3" s="10" customFormat="1" ht="21" customHeight="1" x14ac:dyDescent="0.35">
      <c r="A279" s="5"/>
      <c r="C279" s="7"/>
    </row>
    <row r="280" spans="1:3" s="10" customFormat="1" ht="21" customHeight="1" x14ac:dyDescent="0.35">
      <c r="A280" s="5"/>
      <c r="C280" s="7"/>
    </row>
    <row r="281" spans="1:3" s="10" customFormat="1" ht="21" customHeight="1" x14ac:dyDescent="0.35">
      <c r="A281" s="5"/>
      <c r="C281" s="7"/>
    </row>
    <row r="282" spans="1:3" s="10" customFormat="1" ht="21" customHeight="1" x14ac:dyDescent="0.35">
      <c r="A282" s="5"/>
      <c r="C282" s="7"/>
    </row>
    <row r="283" spans="1:3" ht="21" customHeight="1" x14ac:dyDescent="0.35"/>
    <row r="284" spans="1:3" ht="21" customHeight="1" x14ac:dyDescent="0.35"/>
    <row r="285" spans="1:3" ht="21" customHeight="1" x14ac:dyDescent="0.35"/>
    <row r="286" spans="1:3" ht="21" customHeight="1" x14ac:dyDescent="0.35"/>
    <row r="287" spans="1:3" ht="21" customHeight="1" x14ac:dyDescent="0.35"/>
    <row r="288" spans="1:3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spans="1:8" ht="21" customHeight="1" x14ac:dyDescent="0.35"/>
    <row r="306" spans="1:8" ht="21" customHeight="1" x14ac:dyDescent="0.35"/>
    <row r="307" spans="1:8" ht="21" customHeight="1" x14ac:dyDescent="0.35"/>
    <row r="308" spans="1:8" ht="21" customHeight="1" x14ac:dyDescent="0.35"/>
    <row r="309" spans="1:8" ht="21" customHeight="1" x14ac:dyDescent="0.35"/>
    <row r="310" spans="1:8" ht="21" customHeight="1" x14ac:dyDescent="0.35"/>
    <row r="311" spans="1:8" ht="21" customHeight="1" x14ac:dyDescent="0.35"/>
    <row r="312" spans="1:8" s="13" customFormat="1" ht="21" customHeight="1" x14ac:dyDescent="0.35">
      <c r="A312" s="6"/>
      <c r="B312" s="4"/>
      <c r="C312" s="7"/>
      <c r="D312" s="4"/>
      <c r="E312" s="4"/>
      <c r="F312" s="4"/>
      <c r="G312" s="4"/>
      <c r="H312" s="4"/>
    </row>
    <row r="313" spans="1:8" s="13" customFormat="1" ht="21" customHeight="1" x14ac:dyDescent="0.35">
      <c r="A313" s="6"/>
      <c r="B313" s="4"/>
      <c r="C313" s="7"/>
      <c r="D313" s="4"/>
      <c r="E313" s="4"/>
      <c r="F313" s="4"/>
      <c r="G313" s="4"/>
      <c r="H313" s="4"/>
    </row>
    <row r="314" spans="1:8" s="13" customFormat="1" ht="21" customHeight="1" x14ac:dyDescent="0.35">
      <c r="A314" s="6"/>
      <c r="B314" s="4"/>
      <c r="C314" s="7"/>
      <c r="D314" s="4"/>
      <c r="E314" s="4"/>
      <c r="F314" s="4"/>
      <c r="G314" s="4"/>
      <c r="H314" s="4"/>
    </row>
    <row r="315" spans="1:8" s="13" customFormat="1" ht="21" customHeight="1" x14ac:dyDescent="0.35">
      <c r="A315" s="6"/>
      <c r="B315" s="4"/>
      <c r="C315" s="7"/>
      <c r="D315" s="4"/>
      <c r="E315" s="4"/>
      <c r="F315" s="4"/>
      <c r="G315" s="4"/>
      <c r="H315" s="4"/>
    </row>
    <row r="316" spans="1:8" s="13" customFormat="1" ht="21" customHeight="1" x14ac:dyDescent="0.35">
      <c r="A316" s="6"/>
      <c r="B316" s="4"/>
      <c r="C316" s="7"/>
      <c r="D316" s="4"/>
      <c r="E316" s="4"/>
      <c r="F316" s="4"/>
      <c r="G316" s="4"/>
      <c r="H316" s="4"/>
    </row>
    <row r="317" spans="1:8" s="13" customFormat="1" ht="21" customHeight="1" x14ac:dyDescent="0.35">
      <c r="A317" s="6"/>
      <c r="B317" s="4"/>
      <c r="C317" s="7"/>
      <c r="D317" s="4"/>
      <c r="E317" s="4"/>
      <c r="F317" s="4"/>
      <c r="G317" s="4"/>
      <c r="H317" s="4"/>
    </row>
    <row r="318" spans="1:8" s="13" customFormat="1" ht="21" customHeight="1" x14ac:dyDescent="0.35">
      <c r="A318" s="6"/>
      <c r="B318" s="4"/>
      <c r="C318" s="7"/>
      <c r="D318" s="4"/>
      <c r="E318" s="4"/>
      <c r="F318" s="4"/>
      <c r="G318" s="4"/>
      <c r="H318" s="4"/>
    </row>
    <row r="319" spans="1:8" s="13" customFormat="1" ht="21" customHeight="1" x14ac:dyDescent="0.35">
      <c r="A319" s="6"/>
      <c r="B319" s="4"/>
      <c r="C319" s="7"/>
      <c r="D319" s="4"/>
      <c r="E319" s="4"/>
      <c r="F319" s="4"/>
      <c r="G319" s="4"/>
      <c r="H319" s="4"/>
    </row>
    <row r="320" spans="1:8" s="13" customFormat="1" ht="21" customHeight="1" x14ac:dyDescent="0.35">
      <c r="A320" s="6"/>
      <c r="B320" s="4"/>
      <c r="C320" s="7"/>
      <c r="D320" s="4"/>
      <c r="E320" s="4"/>
      <c r="F320" s="4"/>
      <c r="G320" s="4"/>
      <c r="H320" s="4"/>
    </row>
    <row r="321" spans="1:8" s="13" customFormat="1" ht="21" customHeight="1" x14ac:dyDescent="0.35">
      <c r="A321" s="6"/>
      <c r="B321" s="4"/>
      <c r="C321" s="7"/>
      <c r="D321" s="4"/>
      <c r="E321" s="4"/>
      <c r="F321" s="4"/>
      <c r="G321" s="4"/>
      <c r="H321" s="4"/>
    </row>
    <row r="322" spans="1:8" s="13" customFormat="1" ht="21" customHeight="1" x14ac:dyDescent="0.35">
      <c r="A322" s="6"/>
      <c r="B322" s="4"/>
      <c r="C322" s="7"/>
      <c r="D322" s="4"/>
      <c r="E322" s="4"/>
      <c r="F322" s="4"/>
      <c r="G322" s="4"/>
      <c r="H322" s="4"/>
    </row>
    <row r="323" spans="1:8" s="13" customFormat="1" ht="21" customHeight="1" x14ac:dyDescent="0.35">
      <c r="A323" s="6"/>
      <c r="B323" s="4"/>
      <c r="C323" s="7"/>
      <c r="D323" s="4"/>
      <c r="E323" s="4"/>
      <c r="F323" s="4"/>
      <c r="G323" s="4"/>
      <c r="H323" s="4"/>
    </row>
    <row r="324" spans="1:8" s="13" customFormat="1" ht="21" customHeight="1" x14ac:dyDescent="0.35">
      <c r="A324" s="6"/>
      <c r="B324" s="4"/>
      <c r="C324" s="7"/>
      <c r="D324" s="4"/>
      <c r="E324" s="4"/>
      <c r="F324" s="4"/>
      <c r="G324" s="4"/>
      <c r="H324" s="4"/>
    </row>
    <row r="325" spans="1:8" s="13" customFormat="1" ht="21" customHeight="1" x14ac:dyDescent="0.35">
      <c r="A325" s="6"/>
      <c r="B325" s="4"/>
      <c r="C325" s="7"/>
      <c r="D325" s="4"/>
      <c r="E325" s="4"/>
      <c r="F325" s="4"/>
      <c r="G325" s="4"/>
      <c r="H325" s="4"/>
    </row>
    <row r="326" spans="1:8" s="13" customFormat="1" ht="21" customHeight="1" x14ac:dyDescent="0.35">
      <c r="A326" s="6"/>
      <c r="B326" s="4"/>
      <c r="C326" s="7"/>
      <c r="D326" s="4"/>
      <c r="E326" s="4"/>
      <c r="F326" s="4"/>
      <c r="G326" s="4"/>
      <c r="H326" s="4"/>
    </row>
    <row r="327" spans="1:8" s="13" customFormat="1" ht="21" customHeight="1" x14ac:dyDescent="0.35">
      <c r="A327" s="6"/>
      <c r="B327" s="4"/>
      <c r="C327" s="7"/>
      <c r="D327" s="4"/>
      <c r="E327" s="4"/>
      <c r="F327" s="4"/>
      <c r="G327" s="4"/>
      <c r="H327" s="4"/>
    </row>
    <row r="328" spans="1:8" ht="21" customHeight="1" x14ac:dyDescent="0.35"/>
    <row r="329" spans="1:8" ht="21" customHeight="1" x14ac:dyDescent="0.35"/>
  </sheetData>
  <printOptions horizontalCentered="1" verticalCentered="1"/>
  <pageMargins left="0.7" right="0.7" top="0.75" bottom="0.75" header="0.3" footer="0.3"/>
  <pageSetup scale="83" fitToHeight="10" orientation="portrait" horizontalDpi="200" verticalDpi="200" r:id="rId1"/>
  <headerFooter>
    <oddFooter>&amp;RSchedule A-12
Page &amp;P of &amp;N</oddFooter>
  </headerFooter>
  <rowBreaks count="3" manualBreakCount="3">
    <brk id="84" max="2" man="1"/>
    <brk id="122" max="2" man="1"/>
    <brk id="237" max="2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OUTPUT</vt:lpstr>
      <vt:lpstr>OUTPUT</vt:lpstr>
      <vt:lpstr>OUTPUT!Print_Area</vt:lpstr>
      <vt:lpstr>OUTPUT!Print_Titles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Irrigation, 2023, Schedule A-12</dc:title>
  <dc:creator>Hawkins, Travis Aaron</dc:creator>
  <cp:lastModifiedBy>Savignano, Diana L</cp:lastModifiedBy>
  <cp:lastPrinted>2022-12-29T15:57:30Z</cp:lastPrinted>
  <dcterms:created xsi:type="dcterms:W3CDTF">2022-09-21T20:40:08Z</dcterms:created>
  <dcterms:modified xsi:type="dcterms:W3CDTF">2022-12-29T17:26:26Z</dcterms:modified>
</cp:coreProperties>
</file>